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<sst xmlns="http://schemas.openxmlformats.org/spreadsheetml/2006/main" count="430" uniqueCount="202">
  <si>
    <t>Отчет</t>
  </si>
  <si>
    <t>сводная бюджетная роспись, план года</t>
  </si>
  <si>
    <t>Источник финансирования</t>
  </si>
  <si>
    <t>Всего</t>
  </si>
  <si>
    <t>Областной бюджет</t>
  </si>
  <si>
    <t>Федеральный бюджет</t>
  </si>
  <si>
    <t>Подпрограмма "Реализация мер социальной поддержки отдельных категорий граждан"</t>
  </si>
  <si>
    <t>Подпрограмма "Развитие социального обслуживания населения"</t>
  </si>
  <si>
    <t>Подпрограмма "Реализация дополнительных мероприятий,  направленных на повышение качества жизни населения"</t>
  </si>
  <si>
    <t>Код целевой статьи расходов</t>
  </si>
  <si>
    <t>Код цели</t>
  </si>
  <si>
    <t>Государственная программа  Кемеровской области "Социальная поддержка населения Кузбасса"</t>
  </si>
  <si>
    <t>Мероприятие: 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</si>
  <si>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Мероприятие: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</si>
  <si>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Мероприятие: социальная поддержка Героев Советского Союза, Героев Российской Федерации и полных кавалеров ордена Славы</t>
  </si>
  <si>
    <t>Мероприятие: социальная поддержка Героев Социалистического Труда, Героев Труда Российской Федерации и полных кавалеров ордена Трудовой Славы</t>
  </si>
  <si>
    <t xml:space="preserve">Мероприятие: переподготовка и повышение квалификации кадров </t>
  </si>
  <si>
    <t>Мероприятие: компенсация поставщикам социальных услуг, включенным в реестр поставщиков социальных услуг, но не участвующим в выполнении государственного задания (заказа), стоимости социальных услуг, предоставленных гражданам в соответствии с индивидуальной программой предоставления социальных услуг</t>
  </si>
  <si>
    <t>Мероприятие: субсидии некоммерческим организациям, не являющимся государственными учреждениями Кемеровской области, для компенсации поставщикам социальных услуг, включенным в реестр поставщиков социальных услуг, но не участвующим в выполнении государственного задания (заказа), стоимости социальных услуг, предоставленных гражданам в соответствии с индивидуальной программой предоставления социальных услуг</t>
  </si>
  <si>
    <t>Средства бюджетов государственных внебюджетных фондов (Пенсионный фонд Российской Федерации)</t>
  </si>
  <si>
    <t>0210070010</t>
  </si>
  <si>
    <t>0390002043</t>
  </si>
  <si>
    <t>0210070020</t>
  </si>
  <si>
    <t>0390002044</t>
  </si>
  <si>
    <t>0210070030</t>
  </si>
  <si>
    <t>0390002045</t>
  </si>
  <si>
    <t>0210070040</t>
  </si>
  <si>
    <t>0390002081</t>
  </si>
  <si>
    <t>0210080030</t>
  </si>
  <si>
    <t>0210070060</t>
  </si>
  <si>
    <t>0390002082</t>
  </si>
  <si>
    <t>0210070070</t>
  </si>
  <si>
    <t>0390002083</t>
  </si>
  <si>
    <t>0210080040</t>
  </si>
  <si>
    <t>0210070080</t>
  </si>
  <si>
    <t>0210070090</t>
  </si>
  <si>
    <t>0210080050</t>
  </si>
  <si>
    <t>0210080070</t>
  </si>
  <si>
    <t>0210070100</t>
  </si>
  <si>
    <t>0210080100</t>
  </si>
  <si>
    <t>0210080110</t>
  </si>
  <si>
    <t>0210070140</t>
  </si>
  <si>
    <t>0210052400</t>
  </si>
  <si>
    <t>0210052800</t>
  </si>
  <si>
    <t>0210059400</t>
  </si>
  <si>
    <t>0210052200</t>
  </si>
  <si>
    <t>0210052500</t>
  </si>
  <si>
    <t>0210051980</t>
  </si>
  <si>
    <t>0210051370</t>
  </si>
  <si>
    <t>0220070180</t>
  </si>
  <si>
    <t>0220070190</t>
  </si>
  <si>
    <t>0390002087</t>
  </si>
  <si>
    <t>0220072980</t>
  </si>
  <si>
    <t>0230070210</t>
  </si>
  <si>
    <t>0230070220</t>
  </si>
  <si>
    <t>0230070240</t>
  </si>
  <si>
    <t>0230070250</t>
  </si>
  <si>
    <t>0230070260</t>
  </si>
  <si>
    <t>0230070270</t>
  </si>
  <si>
    <t>0240079520</t>
  </si>
  <si>
    <t>0240070280</t>
  </si>
  <si>
    <t>0250079531</t>
  </si>
  <si>
    <t>0250079533</t>
  </si>
  <si>
    <t>0390002074</t>
  </si>
  <si>
    <t>0390002063</t>
  </si>
  <si>
    <t>0390000032</t>
  </si>
  <si>
    <t>0390000033</t>
  </si>
  <si>
    <t>0250079536</t>
  </si>
  <si>
    <t>0200000000</t>
  </si>
  <si>
    <t>0210000000</t>
  </si>
  <si>
    <t>0220000000</t>
  </si>
  <si>
    <t>0230000000</t>
  </si>
  <si>
    <t>0240000000</t>
  </si>
  <si>
    <t>0250000000</t>
  </si>
  <si>
    <t>Е.А.Воронина</t>
  </si>
  <si>
    <t>0210070130</t>
  </si>
  <si>
    <t>Директор государственной программы:</t>
  </si>
  <si>
    <t>Исполнитель:</t>
  </si>
  <si>
    <t>"Социальная поддержка населения Кузбасса" на 2014-2024 годы</t>
  </si>
  <si>
    <t>Приложение № 1</t>
  </si>
  <si>
    <t xml:space="preserve">Мероприятие: обеспечение мер социальной поддержки ветеранов труда в соответствии с Законом Кемеровской области от 20 декабря 2004 г. № 105-ОЗ «О мерах социальной поддержки отдельной категории ветеранов Великой Отечественной войны и ветеранов труда» </t>
  </si>
  <si>
    <t>Мероприятие: меры социальной поддержки инвалидов в соответствии с Законом Кемеровской области от 14 февраля 2005 г. № 25-ОЗ  «О социальной поддержке инвалидов»</t>
  </si>
  <si>
    <t>Мероприятие: ежемесячная доплата к пенсии гражданам, входящим в состав совета старейшин при Губернаторе Кемеровской области, в соответствии с Законом Кемеровской области от 8 апреля 2008 г. № 16-ОЗ «О ежемесячной доплате к пенсии гражданам, входящим в состав совета старейшин при Губернаторе Кемеровской области»</t>
  </si>
  <si>
    <t>Мероприятие: меры социальной поддержки отдельных категорий многодетных матерей в соответствии с Законом Кемеровской области от 8 апреля 2008 г. №  14-ОЗ «О мерах социальной поддержки отдельных категорий многодетных матерей»</t>
  </si>
  <si>
    <t>Мероприятие: 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</si>
  <si>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Мероприятие: меры социальной поддержки отдельных категорий приемных родителей в соответствии с Законом Кемеровской области от 7 февраля 2013 г. № 9-ОЗ «О мерах социальной поддержки отдельных категорий приемных родителей»</t>
  </si>
  <si>
    <t>Мероприятие: обеспечение мер социальной поддержки по оплате проезда отдельными видами транспорта в соответствии с Законом Кемеровской области от 28 декабря 2016 г. № 97-ОЗ «О мерах социальной поддержки по оплате проезда отдельными видами транспорта»</t>
  </si>
  <si>
    <t xml:space="preserve">Мероприятие: предоставление гражданам субсидий на оплату жилого помещения и коммунальных услуг      </t>
  </si>
  <si>
    <t>Мероприятие: пособие на ребенка в соответствии с Законом Кемеровской области от 18 ноября 2004 г. № 75-ОЗ «О размере, порядке назначения и выплаты пособия на ребенка»</t>
  </si>
  <si>
    <t>Мероприятие: социальная поддержка граждан, достигших возраста 70 лет, в соответствии с Законом Кемеровской области от 10 июня 2005 г. № 74-ОЗ  «О социальной поддержке граждан, достигших возраста  70 лет»</t>
  </si>
  <si>
    <t>Мероприятие: 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г.          № 140-ОЗ «О государственной социальной помощи малоимущим семьям и малоимущим одиноко проживающим гражданам»</t>
  </si>
  <si>
    <t>Мероприятие: денежная выплата отдельным категориям граждан в соответствии с Законом Кемеровской области от 12 декабря 2006 г. № 156-ОЗ  «О денежной выплате отдельным категориям граждан»</t>
  </si>
  <si>
    <t>Мероприятие:       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Федерации, в соответствии с Законом Кемеровской области от 17 января 2005 г. № 2-ОЗ           «О мерах социальной поддержки отдельных категорий граждан по оплате жилых помещений и (или) коммунальных услуг»</t>
  </si>
  <si>
    <t>Мероприятие:  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           от 7 декабря 2018 г. № 104-ОЗ "О некоторых вопросах в сфере погребения и похоронного дела в Кемеровской области»</t>
  </si>
  <si>
    <t>Мероприятие: дополнительное материальное обеспечение отдельных категорий граждан</t>
  </si>
  <si>
    <t>Мероприятие: выплата ежемесячного денежного вознаграждения лицу, организовавшему приемную семью</t>
  </si>
  <si>
    <t>Мероприятие: 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г. № 40-ФЗ «Об обязательном страховании гражданской ответственности владельцев транспортных средств»</t>
  </si>
  <si>
    <t>Мероприятие: осуществление переданных органам государственной власти субъектов Российской Федерации в соответствии с пунктом 3 статьи 25 Федерального закона               от 24 июня 1999 г. № 120-ФЗ «Об основах системы профилактики безнадзорности и правонарушений несовершеннолетних» полномочий Российской Федерации по осуществлению деятельности, связанной 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</si>
  <si>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Мероприятие: осуществление полномочия по осуществлению ежегодной денежной выплаты лицам, награжденным нагрудным знаком «Почетный донор России»</t>
  </si>
  <si>
    <t>Мероприятие:     оплата жилищно-коммунальных услуг отдельным категориям граждан</t>
  </si>
  <si>
    <t>Мероприятие: мероприятия, необходимые для реализации отдельными льготными категориями граждан права на получение мер социальной поддержки</t>
  </si>
  <si>
    <t>Мероприятие:  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
деятельности, полномочий физическими лицами), в соответствии с Федеральным законом от 19 мая 1995 г. № 81-ФЗ «О государственных пособиях гражданам, имеющим детей»</t>
  </si>
  <si>
    <t xml:space="preserve">Региональный проект «Финансовая поддержка семей при рождении детей» </t>
  </si>
  <si>
    <t>Мероприятие: меры социальной поддержки многодетных семей в соответствии с Законом Кемеровской области от 14 ноября 2005 г. № 123-ОЗ «О мерах социальной поддержки многодетных семей в Кемеровской области»</t>
  </si>
  <si>
    <t>Мероприятие: дополнительная мера социальной поддержки семей, имеющих детей, в соответствии с Законом Кемеровской области от 25 апреля 2011 г. № 51-ОЗ «О дополнительной мере социальной поддержки семей, имеющих детей»</t>
  </si>
  <si>
    <t>Мероприятие: выполнение полномочий Российской Федерации по осуществлению ежемесячной выплаты в связи с рождением (усыновлением) первого ребенка</t>
  </si>
  <si>
    <t>Мероприятие: 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</si>
  <si>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Мероприятие: обеспечение деятельности (оказание услуг)
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</si>
  <si>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Региональный проект «Разработка и реализация программы системной поддержки и повышения качества жизни граждан старшего поколения» («Старшее поколение»)</t>
  </si>
  <si>
    <t>Мероприятие: оказание адресной социальной помощи нуждающимся и социально незащищенным категориям граждан, семьям с детьми, семьям погибших шахтеров Кузбасса</t>
  </si>
  <si>
    <t>Мероприятие: создание доступной среды и социальная реабилитация инвалидов</t>
  </si>
  <si>
    <t>Мероприятие: организация и проведение социально значимых
мероприятий</t>
  </si>
  <si>
    <t>Мероприятие: организация и проведение социологических опросов, мониторингов социально-экономического и правового положения отдельных категорий граждан, конференций, коллегий и семинаров по вопросам социальной поддержки населения</t>
  </si>
  <si>
    <t>Мероприятие: мероприятия по повышению информированности граждан о системе социальной поддержки</t>
  </si>
  <si>
    <t xml:space="preserve">Подпрограмма «Повышение эффективности управления системой социальной поддержки и социального обслуживания» </t>
  </si>
  <si>
    <t>Мероприятие: обеспечение деятельности органов государственной власти</t>
  </si>
  <si>
    <t xml:space="preserve">Мероприятие: социальная поддержка и социальное обслуживание населения в части содержания органов местного самоуправления
</t>
  </si>
  <si>
    <t xml:space="preserve">Мероприятие: обеспечение деятельности подведомственных учреждений
</t>
  </si>
  <si>
    <t>Подпрограмма «Государственная поддержка социально ориентированных некоммерческих организаций»</t>
  </si>
  <si>
    <t>Мероприятие: субсидии некоммерческим организациям, не являющимся государственными учреждениями</t>
  </si>
  <si>
    <t>Субсидии некоммерческим организациям, не являющимся государственными учреждениями, для оплаты труда адвокатов, оказывающих бесплатную юридическую помощь гражданам в рамках государственной системы бесплатной юридической помощи, и компенсации их расходов на оказание бесплатной юридической помощи</t>
  </si>
  <si>
    <t>Субсидии некоммерческим организациям, не являющимся государственными учреждениями, для реализации социальных проектов поддержки детей, находящихся в трудной жизненной ситуации (ситуация, объективно нарушающая жизнедеятельность ребенка, которую он не может преодолеть самостоятельно или с помощью семьи: дети, оставшиеся без попечения родителей; безнадзорные и беспризорные дети; дети-инвалиды; дети, проживающие в малоимущих семьях)</t>
  </si>
  <si>
    <t>Субсидии некоммерческим организациям, не являющимся государственными учреждениями, для реализации социальных проектов, направленных на обеспечение безбарьерной среды жизнедеятельности, социальную адаптацию и интеграцию инвалидов и их семей</t>
  </si>
  <si>
    <t>Субсидии некоммерческим организациям, не являющимся государственными учреждениями, для реализации социальных проектов, направленных на улучшение качества жизни пожилых людей, социальную реабилитацию лиц, находящихся в трудной жизненной ситуации</t>
  </si>
  <si>
    <t>Мероприятие: создание системы долговременного ухода за гражданами пожилого возраста и инвалидами</t>
  </si>
  <si>
    <t>Мероприятие: меры социальной поддержки работников муниципальных учреждений социального обслуживания в виде пособий и компенсаций в соответствии с Законом Кемеровской области от 30 октября 2007 г. № 132-ОЗ «О мерах социальной поддержки работников муниципальных учреждений социального обслуживания»</t>
  </si>
  <si>
    <t>Мероприятие: организация и проведение региональных конкурсов профессионального мастерства, направленных на повышение престижа профессии и стимулирование развития системы социальной поддержки и социального обслуживания населения</t>
  </si>
  <si>
    <t>Мероприятие: обеспечение мер социальной поддержки ветеранов Великой Отечественной войны, проработавших в тылу в период с 22 июня 1941 г. по 9 мая 1945 г.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г. № 105-ОЗ «О мерах социальной поддержки отдельной категории ветеранов Великой Отечественной войны и ветеранов труда»</t>
  </si>
  <si>
    <t>Мероприятие: 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г. № 114-ОЗ «О мерах социальной поддержки реабилитированных лиц и лиц, признанных пострадавшими от политических репрессий»</t>
  </si>
  <si>
    <t>Мероприятие:   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 от 17 сентября 1998 г. № 157-ФЗ «Об иммунопрофилактике инфекционных болезней»</t>
  </si>
  <si>
    <t xml:space="preserve">Мероприятие:  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г. № 81-ФЗ «О государственных пособиях гражданам, имеющим детей»     </t>
  </si>
  <si>
    <t>Мероприятие: 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</si>
  <si>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Мероприятие: оказание государственной социальной помощи на основании социального контракта отдельным категориям граждан</t>
  </si>
  <si>
    <t>Заместитель председателя Правительства Кузбасса (по вопросам социального развития)</t>
  </si>
  <si>
    <t>Мероприятие: предоставление компенсации расходов на уплату взноса на капитальный ремонт общего имущества в многоквартирном доме отдельным категориям граждан в соответствии с Законом Кемеровской области-Кузбасса от 08 октября 2019 года № 108-ОЗ "О предоставлении компенсации расходов на уплату взноса на капитальный ремонт общего имущества в многоквартирном доме отдельным категориям граждан"</t>
  </si>
  <si>
    <t>Мероприятие: осуществление ежемесячных выплат на детей в возрасте от трех до семи лет включительно</t>
  </si>
  <si>
    <t>Мероприятие: финансовое обеспечение расходов, связанных с оплатой и выплатой компенсации за неиспользованные отпуска работникам стационарных организаций социального обслуживания, стационарных отделений, созданных не в стационарных организациях социального обслуживания, которым в 2020 году предоставлялись выплаты стимулирующего характера за выполнение особо важных работ, особые условия труда и дополнительную нагрузку, в том числе на компенсацию ранее произведенных субъектами Российской Федерации расходов на указанные цели, за счет средств резервного фонда Правительства Российской Федерации</t>
  </si>
  <si>
    <t>Мероприятие: финансовое обеспечение реализации мер социальной поддержки граждан, пострадавших в результате аварии, произошедшей 25 ноября 2021 года на шахте «Листвяжная» (г.Белово, Кемеровская область-Кузбасс), в целях осуществления выплаты единовременных пособий за счет средств резервного фонда Правительства Российской Федерации</t>
  </si>
  <si>
    <t>возврат неиспользованных бюджетных средств отчетного года в текущем году</t>
  </si>
  <si>
    <t>процент исполнения плана
(графа 6 - графа 7) / графа 5 * 100%</t>
  </si>
  <si>
    <t>государственной программы Кемеровской области - Кузбасса</t>
  </si>
  <si>
    <t xml:space="preserve">об объеме финансовых ресурсов </t>
  </si>
  <si>
    <t>за   2021 год</t>
  </si>
  <si>
    <t>Наименование государственной программы, подпрограммы, основного мероприятия / регионального проекта / ведомственного проекта, мероприятия</t>
  </si>
  <si>
    <t>Объем финансовых ресурсов, тыс.рублей</t>
  </si>
  <si>
    <t xml:space="preserve">кассовое исполнение </t>
  </si>
  <si>
    <t>0220079580</t>
  </si>
  <si>
    <t>0220058370</t>
  </si>
  <si>
    <t>0220070160; 022К070160</t>
  </si>
  <si>
    <t>0220070170; 022К070170</t>
  </si>
  <si>
    <t>0220073880; 022К073880</t>
  </si>
  <si>
    <t>022Р300000</t>
  </si>
  <si>
    <t>022Р351630</t>
  </si>
  <si>
    <t>Мероприятие: меры социальной поддержки и стимулирования работников государственных учреждений социального обслуживания в виде пособий и компенсации в соответствии с Законом Кемеровской области от 13 июля 2005 г. № 86-ОЗ «О мерах социальной поддержки и стимулирования работников государственных учреждений социального обслуживания Кемеровской области»</t>
  </si>
  <si>
    <t>И.о. министра социальной защиты населения Кузбасса</t>
  </si>
  <si>
    <t>Е.Г.Федюнина</t>
  </si>
  <si>
    <t>21-58370-00000-00000</t>
  </si>
  <si>
    <t>0390002056; 0390002247</t>
  </si>
  <si>
    <t>0390002055; 0390002248</t>
  </si>
  <si>
    <t>21-51370-00000-00000</t>
  </si>
  <si>
    <t>21-52200-00000-00000</t>
  </si>
  <si>
    <t>21-52400-00000-00000</t>
  </si>
  <si>
    <t>21-52500-00000-00000</t>
  </si>
  <si>
    <t>0210052520</t>
  </si>
  <si>
    <t>21-52800-00000-00000</t>
  </si>
  <si>
    <t>0210056840</t>
  </si>
  <si>
    <t>21-56840-00000-00000</t>
  </si>
  <si>
    <t>Мероприятие: меры социальной поддержки отдельных категорий граждан в соответствии с Законом Кемеровской области от 27 января 2005 г. № 15-ОЗ  «О мерах социальной поддержки отдельных категорий граждан»</t>
  </si>
  <si>
    <t>0210070110</t>
  </si>
  <si>
    <t>0390002163</t>
  </si>
  <si>
    <t>0210070150</t>
  </si>
  <si>
    <t>0210073870</t>
  </si>
  <si>
    <t>0210080080</t>
  </si>
  <si>
    <t>0210080090</t>
  </si>
  <si>
    <t xml:space="preserve">Мероприятие: компенсация отдельным категориям граждан оплаты  взноса на капитальный ремонт общего имущества в многоквартирном доме </t>
  </si>
  <si>
    <t>02100R4620</t>
  </si>
  <si>
    <t>21-54620-00000-00000</t>
  </si>
  <si>
    <t>021Р100000</t>
  </si>
  <si>
    <t>021Р170050</t>
  </si>
  <si>
    <t>021Р180010</t>
  </si>
  <si>
    <t>0210052700</t>
  </si>
  <si>
    <t>21-52700-00000-00000</t>
  </si>
  <si>
    <t>0210053800</t>
  </si>
  <si>
    <t>21-53800-00000-00000</t>
  </si>
  <si>
    <t>21-59000-00000-00000</t>
  </si>
  <si>
    <t>Мероприятие: ежемесячная выплата на детей в возрасте от 3 до 7 лет</t>
  </si>
  <si>
    <t>0210070200</t>
  </si>
  <si>
    <t>0210070840</t>
  </si>
  <si>
    <t>02100R3020; 02100R302F</t>
  </si>
  <si>
    <t>21-53020-00000-00000;                         21-5302F-00000-00000</t>
  </si>
  <si>
    <t>Мероприятие: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</si>
  <si>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021Р150840</t>
  </si>
  <si>
    <t>21-50840-00000-00000</t>
  </si>
  <si>
    <t>021Р155730</t>
  </si>
  <si>
    <t>21-55730-00000-00000</t>
  </si>
  <si>
    <t>02100R4040</t>
  </si>
  <si>
    <t>21-54040-00000-00000</t>
  </si>
  <si>
    <t>0220079537</t>
  </si>
  <si>
    <t>21-51630-00000-00000</t>
  </si>
  <si>
    <t>0240079540</t>
  </si>
  <si>
    <t>025007953Е</t>
  </si>
  <si>
    <t xml:space="preserve">Мероприятие: дополнительная мера социальной поддержки граждан в целях соблюдения предельных (максимальных) индексов изменения размера вносимой гражданами платы за коммунальные услуги в соответствии с Законом Кемеровской области-Кузбасса от 17.12.2019 № 138-ОЗ "О дополнительной мере социальной поддержки граждан в целях соблюдения предельных (максимальных) индексов изменения размера вносимой гражданами платы за коммунальные услуги"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</si>
</sst>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_р_."/>
    <numFmt numFmtId="189" formatCode="0.0"/>
    <numFmt numFmtId="190" formatCode="#,##0.0"/>
    <numFmt numFmtId="191" formatCode="#,##0.00_р_."/>
    <numFmt numFmtId="192" formatCode="#,##0.000_р_.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\ _₽"/>
    <numFmt numFmtId="200" formatCode="[$-FC19]d\ mmmm\ yyyy\ &quot;г.&quot;"/>
    <numFmt numFmtId="201" formatCode="#,##0.00\ &quot;₽&quot;"/>
    <numFmt numFmtId="202" formatCode="#,##0.0\ _₽"/>
    <numFmt numFmtId="203" formatCode="_-* #,##0.00\ [$₽-419]_-;\-* #,##0.00\ [$₽-419]_-;_-* &quot;-&quot;??\ [$₽-419]_-;_-@_-"/>
    <numFmt numFmtId="204" formatCode="#,##0.0\ _₽;\-#,##0.0\ _₽"/>
  </numFmts>
  <fonts count="47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191" fontId="4" fillId="0" borderId="10" xfId="0" applyNumberFormat="1" applyFont="1" applyBorder="1" applyAlignment="1">
      <alignment/>
    </xf>
    <xf numFmtId="191" fontId="5" fillId="0" borderId="10" xfId="0" applyNumberFormat="1" applyFont="1" applyBorder="1" applyAlignment="1">
      <alignment/>
    </xf>
    <xf numFmtId="188" fontId="2" fillId="0" borderId="10" xfId="0" applyNumberFormat="1" applyFont="1" applyFill="1" applyBorder="1" applyAlignment="1">
      <alignment/>
    </xf>
    <xf numFmtId="191" fontId="2" fillId="0" borderId="10" xfId="0" applyNumberFormat="1" applyFont="1" applyFill="1" applyBorder="1" applyAlignment="1">
      <alignment/>
    </xf>
    <xf numFmtId="191" fontId="4" fillId="0" borderId="10" xfId="0" applyNumberFormat="1" applyFont="1" applyFill="1" applyBorder="1" applyAlignment="1">
      <alignment/>
    </xf>
    <xf numFmtId="188" fontId="5" fillId="0" borderId="10" xfId="0" applyNumberFormat="1" applyFont="1" applyFill="1" applyBorder="1" applyAlignment="1">
      <alignment/>
    </xf>
    <xf numFmtId="191" fontId="5" fillId="0" borderId="10" xfId="0" applyNumberFormat="1" applyFont="1" applyFill="1" applyBorder="1" applyAlignment="1">
      <alignment/>
    </xf>
    <xf numFmtId="0" fontId="2" fillId="0" borderId="11" xfId="0" applyFont="1" applyBorder="1" applyAlignment="1">
      <alignment horizontal="center" wrapText="1"/>
    </xf>
    <xf numFmtId="49" fontId="3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187" fontId="3" fillId="0" borderId="10" xfId="58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191" fontId="2" fillId="0" borderId="10" xfId="58" applyNumberFormat="1" applyFont="1" applyFill="1" applyBorder="1" applyAlignment="1">
      <alignment/>
    </xf>
    <xf numFmtId="0" fontId="3" fillId="32" borderId="10" xfId="0" applyFont="1" applyFill="1" applyBorder="1" applyAlignment="1">
      <alignment wrapText="1"/>
    </xf>
    <xf numFmtId="49" fontId="3" fillId="32" borderId="10" xfId="0" applyNumberFormat="1" applyFont="1" applyFill="1" applyBorder="1" applyAlignment="1">
      <alignment wrapText="1"/>
    </xf>
    <xf numFmtId="191" fontId="2" fillId="32" borderId="10" xfId="0" applyNumberFormat="1" applyFont="1" applyFill="1" applyBorder="1" applyAlignment="1">
      <alignment/>
    </xf>
    <xf numFmtId="187" fontId="3" fillId="32" borderId="10" xfId="58" applyFont="1" applyFill="1" applyBorder="1" applyAlignment="1">
      <alignment wrapText="1"/>
    </xf>
    <xf numFmtId="49" fontId="0" fillId="32" borderId="10" xfId="0" applyNumberFormat="1" applyFont="1" applyFill="1" applyBorder="1" applyAlignment="1">
      <alignment wrapText="1"/>
    </xf>
    <xf numFmtId="0" fontId="0" fillId="32" borderId="10" xfId="0" applyFont="1" applyFill="1" applyBorder="1" applyAlignment="1">
      <alignment horizontal="center" wrapText="1"/>
    </xf>
    <xf numFmtId="49" fontId="0" fillId="32" borderId="10" xfId="0" applyNumberFormat="1" applyFont="1" applyFill="1" applyBorder="1" applyAlignment="1">
      <alignment horizontal="center" wrapText="1"/>
    </xf>
    <xf numFmtId="188" fontId="2" fillId="32" borderId="10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0" fillId="0" borderId="10" xfId="0" applyFont="1" applyBorder="1" applyAlignment="1">
      <alignment wrapText="1"/>
    </xf>
    <xf numFmtId="0" fontId="10" fillId="32" borderId="10" xfId="0" applyFont="1" applyFill="1" applyBorder="1" applyAlignment="1">
      <alignment wrapText="1"/>
    </xf>
    <xf numFmtId="49" fontId="9" fillId="32" borderId="10" xfId="0" applyNumberFormat="1" applyFont="1" applyFill="1" applyBorder="1" applyAlignment="1">
      <alignment wrapText="1"/>
    </xf>
    <xf numFmtId="0" fontId="9" fillId="32" borderId="10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32" borderId="0" xfId="0" applyFont="1" applyFill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32" borderId="10" xfId="0" applyFont="1" applyFill="1" applyBorder="1" applyAlignment="1">
      <alignment horizontal="center" wrapText="1"/>
    </xf>
    <xf numFmtId="0" fontId="3" fillId="32" borderId="0" xfId="0" applyFont="1" applyFill="1" applyAlignment="1">
      <alignment wrapText="1"/>
    </xf>
    <xf numFmtId="0" fontId="3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wrapText="1"/>
    </xf>
    <xf numFmtId="188" fontId="4" fillId="0" borderId="10" xfId="0" applyNumberFormat="1" applyFont="1" applyFill="1" applyBorder="1" applyAlignment="1">
      <alignment/>
    </xf>
    <xf numFmtId="188" fontId="4" fillId="32" borderId="10" xfId="0" applyNumberFormat="1" applyFont="1" applyFill="1" applyBorder="1" applyAlignment="1">
      <alignment/>
    </xf>
    <xf numFmtId="188" fontId="5" fillId="32" borderId="10" xfId="0" applyNumberFormat="1" applyFont="1" applyFill="1" applyBorder="1" applyAlignment="1">
      <alignment/>
    </xf>
    <xf numFmtId="188" fontId="11" fillId="32" borderId="10" xfId="0" applyNumberFormat="1" applyFont="1" applyFill="1" applyBorder="1" applyAlignment="1">
      <alignment/>
    </xf>
    <xf numFmtId="188" fontId="2" fillId="32" borderId="10" xfId="0" applyNumberFormat="1" applyFont="1" applyFill="1" applyBorder="1" applyAlignment="1">
      <alignment/>
    </xf>
    <xf numFmtId="188" fontId="4" fillId="0" borderId="10" xfId="58" applyNumberFormat="1" applyFont="1" applyFill="1" applyBorder="1" applyAlignment="1">
      <alignment/>
    </xf>
    <xf numFmtId="188" fontId="2" fillId="0" borderId="10" xfId="58" applyNumberFormat="1" applyFont="1" applyFill="1" applyBorder="1" applyAlignment="1">
      <alignment/>
    </xf>
    <xf numFmtId="188" fontId="11" fillId="0" borderId="10" xfId="0" applyNumberFormat="1" applyFont="1" applyFill="1" applyBorder="1" applyAlignment="1">
      <alignment/>
    </xf>
    <xf numFmtId="188" fontId="2" fillId="0" borderId="10" xfId="0" applyNumberFormat="1" applyFont="1" applyFill="1" applyBorder="1" applyAlignment="1">
      <alignment/>
    </xf>
    <xf numFmtId="188" fontId="5" fillId="0" borderId="10" xfId="0" applyNumberFormat="1" applyFont="1" applyBorder="1" applyAlignment="1">
      <alignment/>
    </xf>
    <xf numFmtId="188" fontId="4" fillId="0" borderId="10" xfId="0" applyNumberFormat="1" applyFont="1" applyBorder="1" applyAlignment="1">
      <alignment/>
    </xf>
    <xf numFmtId="188" fontId="2" fillId="0" borderId="10" xfId="58" applyNumberFormat="1" applyFont="1" applyFill="1" applyBorder="1" applyAlignment="1">
      <alignment/>
    </xf>
    <xf numFmtId="0" fontId="0" fillId="0" borderId="10" xfId="0" applyFont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199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2" fontId="2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49" fontId="0" fillId="32" borderId="10" xfId="0" applyNumberFormat="1" applyFont="1" applyFill="1" applyBorder="1" applyAlignment="1">
      <alignment wrapText="1"/>
    </xf>
    <xf numFmtId="0" fontId="0" fillId="32" borderId="10" xfId="0" applyFont="1" applyFill="1" applyBorder="1" applyAlignment="1">
      <alignment wrapText="1"/>
    </xf>
    <xf numFmtId="199" fontId="4" fillId="0" borderId="1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32" borderId="0" xfId="0" applyFont="1" applyFill="1" applyAlignment="1">
      <alignment/>
    </xf>
    <xf numFmtId="202" fontId="2" fillId="0" borderId="10" xfId="0" applyNumberFormat="1" applyFont="1" applyBorder="1" applyAlignment="1">
      <alignment/>
    </xf>
    <xf numFmtId="204" fontId="2" fillId="0" borderId="10" xfId="0" applyNumberFormat="1" applyFont="1" applyBorder="1" applyAlignment="1">
      <alignment/>
    </xf>
    <xf numFmtId="202" fontId="0" fillId="0" borderId="10" xfId="0" applyNumberFormat="1" applyBorder="1" applyAlignment="1">
      <alignment/>
    </xf>
    <xf numFmtId="202" fontId="4" fillId="32" borderId="10" xfId="0" applyNumberFormat="1" applyFont="1" applyFill="1" applyBorder="1" applyAlignment="1">
      <alignment/>
    </xf>
    <xf numFmtId="202" fontId="4" fillId="0" borderId="10" xfId="0" applyNumberFormat="1" applyFont="1" applyFill="1" applyBorder="1" applyAlignment="1">
      <alignment/>
    </xf>
    <xf numFmtId="202" fontId="5" fillId="32" borderId="10" xfId="0" applyNumberFormat="1" applyFont="1" applyFill="1" applyBorder="1" applyAlignment="1">
      <alignment/>
    </xf>
    <xf numFmtId="202" fontId="11" fillId="32" borderId="10" xfId="0" applyNumberFormat="1" applyFont="1" applyFill="1" applyBorder="1" applyAlignment="1">
      <alignment/>
    </xf>
    <xf numFmtId="202" fontId="4" fillId="0" borderId="10" xfId="0" applyNumberFormat="1" applyFont="1" applyBorder="1" applyAlignment="1">
      <alignment/>
    </xf>
    <xf numFmtId="202" fontId="2" fillId="32" borderId="10" xfId="0" applyNumberFormat="1" applyFont="1" applyFill="1" applyBorder="1" applyAlignment="1">
      <alignment/>
    </xf>
    <xf numFmtId="202" fontId="4" fillId="0" borderId="10" xfId="58" applyNumberFormat="1" applyFont="1" applyFill="1" applyBorder="1" applyAlignment="1">
      <alignment/>
    </xf>
    <xf numFmtId="202" fontId="5" fillId="0" borderId="10" xfId="0" applyNumberFormat="1" applyFont="1" applyFill="1" applyBorder="1" applyAlignment="1">
      <alignment/>
    </xf>
    <xf numFmtId="0" fontId="12" fillId="0" borderId="10" xfId="0" applyFont="1" applyBorder="1" applyAlignment="1">
      <alignment wrapText="1"/>
    </xf>
    <xf numFmtId="0" fontId="0" fillId="32" borderId="10" xfId="0" applyFont="1" applyFill="1" applyBorder="1" applyAlignment="1">
      <alignment wrapText="1"/>
    </xf>
    <xf numFmtId="0" fontId="0" fillId="32" borderId="10" xfId="0" applyFont="1" applyFill="1" applyBorder="1" applyAlignment="1">
      <alignment horizontal="left" wrapText="1"/>
    </xf>
    <xf numFmtId="49" fontId="0" fillId="32" borderId="10" xfId="0" applyNumberFormat="1" applyFont="1" applyFill="1" applyBorder="1" applyAlignment="1">
      <alignment horizontal="center" wrapText="1"/>
    </xf>
    <xf numFmtId="49" fontId="0" fillId="32" borderId="10" xfId="0" applyNumberFormat="1" applyFont="1" applyFill="1" applyBorder="1" applyAlignment="1">
      <alignment horizontal="right" wrapText="1"/>
    </xf>
    <xf numFmtId="0" fontId="6" fillId="32" borderId="10" xfId="0" applyFont="1" applyFill="1" applyBorder="1" applyAlignment="1">
      <alignment wrapText="1"/>
    </xf>
    <xf numFmtId="49" fontId="6" fillId="32" borderId="10" xfId="0" applyNumberFormat="1" applyFont="1" applyFill="1" applyBorder="1" applyAlignment="1">
      <alignment wrapText="1"/>
    </xf>
    <xf numFmtId="0" fontId="8" fillId="32" borderId="10" xfId="0" applyFont="1" applyFill="1" applyBorder="1" applyAlignment="1">
      <alignment wrapText="1"/>
    </xf>
    <xf numFmtId="49" fontId="8" fillId="32" borderId="10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2" xfId="0" applyBorder="1" applyAlignment="1">
      <alignment horizontal="justify" wrapText="1"/>
    </xf>
    <xf numFmtId="0" fontId="0" fillId="0" borderId="14" xfId="0" applyFont="1" applyBorder="1" applyAlignment="1">
      <alignment horizontal="justify" wrapText="1"/>
    </xf>
    <xf numFmtId="0" fontId="0" fillId="0" borderId="11" xfId="0" applyFont="1" applyBorder="1" applyAlignment="1">
      <alignment horizontal="justify" wrapText="1"/>
    </xf>
    <xf numFmtId="0" fontId="2" fillId="32" borderId="10" xfId="0" applyFont="1" applyFill="1" applyBorder="1" applyAlignment="1">
      <alignment horizontal="center" wrapText="1"/>
    </xf>
    <xf numFmtId="0" fontId="0" fillId="32" borderId="12" xfId="0" applyFill="1" applyBorder="1" applyAlignment="1">
      <alignment horizontal="justify" wrapText="1"/>
    </xf>
    <xf numFmtId="0" fontId="0" fillId="32" borderId="14" xfId="0" applyFont="1" applyFill="1" applyBorder="1" applyAlignment="1">
      <alignment horizontal="justify" wrapText="1"/>
    </xf>
    <xf numFmtId="0" fontId="0" fillId="32" borderId="11" xfId="0" applyFont="1" applyFill="1" applyBorder="1" applyAlignment="1">
      <alignment horizontal="justify" wrapText="1"/>
    </xf>
    <xf numFmtId="0" fontId="0" fillId="32" borderId="12" xfId="0" applyFont="1" applyFill="1" applyBorder="1" applyAlignment="1">
      <alignment horizontal="left" wrapText="1"/>
    </xf>
    <xf numFmtId="0" fontId="0" fillId="32" borderId="14" xfId="0" applyFill="1" applyBorder="1" applyAlignment="1">
      <alignment horizontal="left" wrapText="1"/>
    </xf>
    <xf numFmtId="0" fontId="0" fillId="32" borderId="11" xfId="0" applyFill="1" applyBorder="1" applyAlignment="1">
      <alignment horizontal="left" wrapText="1"/>
    </xf>
    <xf numFmtId="0" fontId="0" fillId="32" borderId="12" xfId="0" applyFont="1" applyFill="1" applyBorder="1" applyAlignment="1">
      <alignment wrapText="1"/>
    </xf>
    <xf numFmtId="0" fontId="0" fillId="32" borderId="14" xfId="0" applyFont="1" applyFill="1" applyBorder="1" applyAlignment="1">
      <alignment wrapText="1"/>
    </xf>
    <xf numFmtId="0" fontId="0" fillId="32" borderId="11" xfId="0" applyFont="1" applyFill="1" applyBorder="1" applyAlignment="1">
      <alignment wrapText="1"/>
    </xf>
    <xf numFmtId="0" fontId="0" fillId="32" borderId="14" xfId="0" applyFont="1" applyFill="1" applyBorder="1" applyAlignment="1">
      <alignment horizontal="justify" wrapText="1"/>
    </xf>
    <xf numFmtId="0" fontId="0" fillId="32" borderId="11" xfId="0" applyFont="1" applyFill="1" applyBorder="1" applyAlignment="1">
      <alignment horizontal="justify" wrapText="1"/>
    </xf>
    <xf numFmtId="0" fontId="4" fillId="0" borderId="12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0" fillId="32" borderId="12" xfId="0" applyFont="1" applyFill="1" applyBorder="1" applyAlignment="1">
      <alignment horizontal="justify" wrapText="1"/>
    </xf>
    <xf numFmtId="0" fontId="0" fillId="32" borderId="14" xfId="0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2" xfId="0" applyFont="1" applyFill="1" applyBorder="1" applyAlignment="1">
      <alignment horizontal="left" wrapText="1"/>
    </xf>
    <xf numFmtId="0" fontId="0" fillId="0" borderId="12" xfId="0" applyFont="1" applyBorder="1" applyAlignment="1">
      <alignment horizontal="justify" wrapText="1"/>
    </xf>
    <xf numFmtId="0" fontId="9" fillId="32" borderId="12" xfId="0" applyFont="1" applyFill="1" applyBorder="1" applyAlignment="1">
      <alignment horizontal="left" wrapText="1"/>
    </xf>
    <xf numFmtId="0" fontId="9" fillId="32" borderId="14" xfId="0" applyFont="1" applyFill="1" applyBorder="1" applyAlignment="1">
      <alignment horizontal="left" wrapText="1"/>
    </xf>
    <xf numFmtId="0" fontId="9" fillId="32" borderId="11" xfId="0" applyFont="1" applyFill="1" applyBorder="1" applyAlignment="1">
      <alignment horizontal="left" wrapText="1"/>
    </xf>
    <xf numFmtId="0" fontId="0" fillId="0" borderId="12" xfId="0" applyFont="1" applyBorder="1" applyAlignment="1">
      <alignment horizontal="justify" wrapText="1"/>
    </xf>
    <xf numFmtId="0" fontId="0" fillId="32" borderId="14" xfId="0" applyFill="1" applyBorder="1" applyAlignment="1">
      <alignment horizontal="justify" wrapText="1"/>
    </xf>
    <xf numFmtId="0" fontId="0" fillId="32" borderId="11" xfId="0" applyFill="1" applyBorder="1" applyAlignment="1">
      <alignment horizontal="justify" wrapText="1"/>
    </xf>
    <xf numFmtId="0" fontId="0" fillId="0" borderId="12" xfId="58" applyNumberFormat="1" applyFont="1" applyBorder="1" applyAlignment="1">
      <alignment horizontal="left" wrapText="1"/>
    </xf>
    <xf numFmtId="0" fontId="0" fillId="0" borderId="14" xfId="58" applyNumberFormat="1" applyFont="1" applyBorder="1" applyAlignment="1">
      <alignment horizontal="left" wrapText="1"/>
    </xf>
    <xf numFmtId="0" fontId="0" fillId="0" borderId="11" xfId="58" applyNumberFormat="1" applyFont="1" applyBorder="1" applyAlignment="1">
      <alignment horizontal="left" wrapText="1"/>
    </xf>
    <xf numFmtId="0" fontId="9" fillId="0" borderId="12" xfId="0" applyFont="1" applyBorder="1" applyAlignment="1">
      <alignment horizontal="justify" wrapText="1"/>
    </xf>
    <xf numFmtId="0" fontId="0" fillId="0" borderId="12" xfId="0" applyNumberFormat="1" applyFont="1" applyBorder="1" applyAlignment="1">
      <alignment horizontal="justify" wrapText="1"/>
    </xf>
    <xf numFmtId="0" fontId="0" fillId="0" borderId="14" xfId="0" applyNumberFormat="1" applyFont="1" applyBorder="1" applyAlignment="1">
      <alignment horizontal="justify" wrapText="1"/>
    </xf>
    <xf numFmtId="0" fontId="0" fillId="0" borderId="11" xfId="0" applyNumberFormat="1" applyFont="1" applyBorder="1" applyAlignment="1">
      <alignment horizontal="justify" wrapText="1"/>
    </xf>
    <xf numFmtId="0" fontId="0" fillId="0" borderId="14" xfId="0" applyBorder="1" applyAlignment="1">
      <alignment horizontal="justify" wrapText="1"/>
    </xf>
    <xf numFmtId="0" fontId="0" fillId="0" borderId="11" xfId="0" applyBorder="1" applyAlignment="1">
      <alignment horizontal="justify" wrapText="1"/>
    </xf>
    <xf numFmtId="0" fontId="0" fillId="0" borderId="12" xfId="0" applyFont="1" applyFill="1" applyBorder="1" applyAlignment="1">
      <alignment horizontal="justify" wrapText="1"/>
    </xf>
    <xf numFmtId="0" fontId="0" fillId="0" borderId="14" xfId="0" applyFont="1" applyFill="1" applyBorder="1" applyAlignment="1">
      <alignment horizontal="justify" wrapText="1"/>
    </xf>
    <xf numFmtId="0" fontId="0" fillId="0" borderId="11" xfId="0" applyFont="1" applyFill="1" applyBorder="1" applyAlignment="1">
      <alignment horizontal="justify" wrapText="1"/>
    </xf>
    <xf numFmtId="0" fontId="7" fillId="0" borderId="12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5"/>
  <sheetViews>
    <sheetView tabSelected="1" zoomScalePageLayoutView="0" workbookViewId="0" topLeftCell="A4">
      <pane xSplit="2" ySplit="7" topLeftCell="C116" activePane="bottomRight" state="frozen"/>
      <selection pane="topLeft" activeCell="A4" sqref="A4"/>
      <selection pane="topRight" activeCell="C4" sqref="C4"/>
      <selection pane="bottomLeft" activeCell="A11" sqref="A11"/>
      <selection pane="bottomRight" activeCell="A124" sqref="A124:A126"/>
    </sheetView>
  </sheetViews>
  <sheetFormatPr defaultColWidth="9.140625" defaultRowHeight="12.75" outlineLevelRow="1"/>
  <cols>
    <col min="1" max="1" width="62.140625" style="0" customWidth="1"/>
    <col min="2" max="2" width="26.8515625" style="0" customWidth="1"/>
    <col min="3" max="3" width="12.28125" style="0" customWidth="1"/>
    <col min="4" max="4" width="11.421875" style="0" customWidth="1"/>
    <col min="5" max="5" width="20.8515625" style="0" customWidth="1"/>
    <col min="6" max="6" width="21.140625" style="0" customWidth="1"/>
    <col min="7" max="7" width="16.421875" style="0" customWidth="1"/>
    <col min="8" max="8" width="15.8515625" style="0" customWidth="1" collapsed="1"/>
  </cols>
  <sheetData>
    <row r="1" ht="12.75">
      <c r="F1" t="s">
        <v>79</v>
      </c>
    </row>
    <row r="2" spans="1:8" ht="21" customHeight="1">
      <c r="A2" s="95" t="s">
        <v>0</v>
      </c>
      <c r="B2" s="95"/>
      <c r="C2" s="95"/>
      <c r="D2" s="95"/>
      <c r="E2" s="95"/>
      <c r="F2" s="95"/>
      <c r="G2" s="95"/>
      <c r="H2" s="95"/>
    </row>
    <row r="3" spans="1:8" ht="15" customHeight="1">
      <c r="A3" s="96" t="s">
        <v>141</v>
      </c>
      <c r="B3" s="96"/>
      <c r="C3" s="96"/>
      <c r="D3" s="96"/>
      <c r="E3" s="96"/>
      <c r="F3" s="96"/>
      <c r="G3" s="96"/>
      <c r="H3" s="96"/>
    </row>
    <row r="4" spans="1:8" ht="15" customHeight="1">
      <c r="A4" s="98" t="s">
        <v>140</v>
      </c>
      <c r="B4" s="98"/>
      <c r="C4" s="98"/>
      <c r="D4" s="98"/>
      <c r="E4" s="98"/>
      <c r="F4" s="98"/>
      <c r="G4" s="98"/>
      <c r="H4" s="98"/>
    </row>
    <row r="5" spans="1:8" ht="18" customHeight="1">
      <c r="A5" s="97" t="s">
        <v>78</v>
      </c>
      <c r="B5" s="97"/>
      <c r="C5" s="97"/>
      <c r="D5" s="97"/>
      <c r="E5" s="97"/>
      <c r="F5" s="97"/>
      <c r="G5" s="97"/>
      <c r="H5" s="97"/>
    </row>
    <row r="6" spans="1:8" ht="18.75" customHeight="1">
      <c r="A6" s="97" t="s">
        <v>142</v>
      </c>
      <c r="B6" s="97"/>
      <c r="C6" s="97"/>
      <c r="D6" s="97"/>
      <c r="E6" s="97"/>
      <c r="F6" s="97"/>
      <c r="G6" s="97"/>
      <c r="H6" s="97"/>
    </row>
    <row r="7" spans="1:6" ht="17.25" customHeight="1">
      <c r="A7" s="44"/>
      <c r="B7" s="44"/>
      <c r="C7" s="45"/>
      <c r="D7" s="45"/>
      <c r="E7" s="45"/>
      <c r="F7" s="45"/>
    </row>
    <row r="8" spans="1:8" ht="30" customHeight="1">
      <c r="A8" s="125" t="s">
        <v>143</v>
      </c>
      <c r="B8" s="125" t="s">
        <v>2</v>
      </c>
      <c r="C8" s="99" t="s">
        <v>9</v>
      </c>
      <c r="D8" s="99" t="s">
        <v>10</v>
      </c>
      <c r="E8" s="110" t="s">
        <v>144</v>
      </c>
      <c r="F8" s="110"/>
      <c r="G8" s="110"/>
      <c r="H8" s="110"/>
    </row>
    <row r="9" spans="1:8" ht="78" customHeight="1">
      <c r="A9" s="125"/>
      <c r="B9" s="125"/>
      <c r="C9" s="100"/>
      <c r="D9" s="100"/>
      <c r="E9" s="2" t="s">
        <v>1</v>
      </c>
      <c r="F9" s="46" t="s">
        <v>145</v>
      </c>
      <c r="G9" s="64" t="s">
        <v>138</v>
      </c>
      <c r="H9" s="64" t="s">
        <v>139</v>
      </c>
    </row>
    <row r="10" spans="1:8" ht="15">
      <c r="A10" s="41">
        <v>1</v>
      </c>
      <c r="B10" s="42">
        <v>2</v>
      </c>
      <c r="C10" s="16">
        <v>3</v>
      </c>
      <c r="D10" s="16">
        <v>4</v>
      </c>
      <c r="E10" s="42">
        <v>5</v>
      </c>
      <c r="F10" s="42">
        <v>6</v>
      </c>
      <c r="G10" s="65">
        <v>7</v>
      </c>
      <c r="H10" s="65">
        <v>8</v>
      </c>
    </row>
    <row r="11" spans="1:8" ht="24.75" customHeight="1">
      <c r="A11" s="122" t="s">
        <v>11</v>
      </c>
      <c r="B11" s="7" t="s">
        <v>3</v>
      </c>
      <c r="C11" s="20" t="s">
        <v>68</v>
      </c>
      <c r="D11" s="86"/>
      <c r="E11" s="62">
        <f>SUM(E12:E14)</f>
        <v>30778917.729999997</v>
      </c>
      <c r="F11" s="62">
        <f>SUM(F12:F14)</f>
        <v>30624762.300000004</v>
      </c>
      <c r="G11" s="62">
        <f>SUM(G12:G14)</f>
        <v>287.8</v>
      </c>
      <c r="H11" s="72">
        <f>ROUND(((F11-G11)/E11)*100,2)</f>
        <v>99.5</v>
      </c>
    </row>
    <row r="12" spans="1:8" ht="26.25" customHeight="1">
      <c r="A12" s="123"/>
      <c r="B12" s="7" t="s">
        <v>4</v>
      </c>
      <c r="C12" s="7"/>
      <c r="D12" s="7"/>
      <c r="E12" s="62">
        <f aca="true" t="shared" si="0" ref="E12:G13">E16+E149+E185+E206+E218</f>
        <v>18354764.63</v>
      </c>
      <c r="F12" s="62">
        <f t="shared" si="0"/>
        <v>18258291.700000003</v>
      </c>
      <c r="G12" s="62">
        <f t="shared" si="0"/>
        <v>287.8</v>
      </c>
      <c r="H12" s="72">
        <f aca="true" t="shared" si="1" ref="H12:H68">ROUND(((F12-G12)/E12)*100,2)</f>
        <v>99.47</v>
      </c>
    </row>
    <row r="13" spans="1:8" ht="22.5" customHeight="1">
      <c r="A13" s="123"/>
      <c r="B13" s="7" t="s">
        <v>5</v>
      </c>
      <c r="C13" s="7"/>
      <c r="D13" s="7"/>
      <c r="E13" s="62">
        <f t="shared" si="0"/>
        <v>12423493.1</v>
      </c>
      <c r="F13" s="62">
        <f t="shared" si="0"/>
        <v>12365811.3</v>
      </c>
      <c r="G13" s="62">
        <f t="shared" si="0"/>
        <v>0</v>
      </c>
      <c r="H13" s="72">
        <f t="shared" si="1"/>
        <v>99.54</v>
      </c>
    </row>
    <row r="14" spans="1:8" ht="79.5" customHeight="1">
      <c r="A14" s="124"/>
      <c r="B14" s="7" t="s">
        <v>19</v>
      </c>
      <c r="C14" s="7"/>
      <c r="D14" s="7"/>
      <c r="E14" s="9">
        <f>E18</f>
        <v>660</v>
      </c>
      <c r="F14" s="62">
        <f>F18</f>
        <v>659.3000000000001</v>
      </c>
      <c r="G14" s="62">
        <f>G18</f>
        <v>0</v>
      </c>
      <c r="H14" s="72">
        <f t="shared" si="1"/>
        <v>99.89</v>
      </c>
    </row>
    <row r="15" spans="1:8" ht="26.25" customHeight="1">
      <c r="A15" s="101" t="s">
        <v>6</v>
      </c>
      <c r="B15" s="6" t="s">
        <v>3</v>
      </c>
      <c r="C15" s="20" t="s">
        <v>69</v>
      </c>
      <c r="D15" s="6"/>
      <c r="E15" s="61">
        <f>SUM(E16:E18)</f>
        <v>22907371.33</v>
      </c>
      <c r="F15" s="61">
        <f>SUM(F16:F18)</f>
        <v>22793866.200000003</v>
      </c>
      <c r="G15" s="61">
        <f>SUM(G16:G18)</f>
        <v>280.2</v>
      </c>
      <c r="H15" s="72">
        <f t="shared" si="1"/>
        <v>99.5</v>
      </c>
    </row>
    <row r="16" spans="1:8" ht="23.25" customHeight="1">
      <c r="A16" s="102"/>
      <c r="B16" s="6" t="s">
        <v>4</v>
      </c>
      <c r="C16" s="18"/>
      <c r="D16" s="6"/>
      <c r="E16" s="61">
        <f>E20+E23+E26+E29+E32+E35+E44+E47+E50+E53+E56+E59+E65+E68+E71+E74+E77+E80+E83+E86+E92+E95+E98+E101+E89+E110+E128+E38+E104+E107+E113+E41+E131+E137+E140+E62+E134+E143+E146</f>
        <v>10656633.73</v>
      </c>
      <c r="F16" s="61">
        <f>F20+F23+F26+F29+F32+F35+F44+F47+F50+F53+F56+F59+F65+F68+F71+F74+F77+F80+F83+F86+F92+F95+F98+F101+F89+F110+F128+F38+F104+F107+F113+F41+F131+F137+F140+F62+F134+F143+F146</f>
        <v>10600344.8</v>
      </c>
      <c r="G16" s="61">
        <f>G20+G23+G26+G29+G32+G35+G44+G47+G50+G53+G56+G59+G62+G65+G68+G71+G74+G77+G80+G83+G86+G92+G95+G98+G101+G89+G110+G113+G131+G38+G104+G107+G116+G41+G134+G137+G140</f>
        <v>280.2</v>
      </c>
      <c r="H16" s="72">
        <f t="shared" si="1"/>
        <v>99.47</v>
      </c>
    </row>
    <row r="17" spans="1:8" ht="23.25" customHeight="1">
      <c r="A17" s="102"/>
      <c r="B17" s="6" t="s">
        <v>5</v>
      </c>
      <c r="C17" s="18"/>
      <c r="D17" s="6"/>
      <c r="E17" s="61">
        <f>E21+E24+E27+E30+E33+E36+E45+E48+E51+E54+E57+E60+E66+E69+E72+E75+E78+E81+E84+E87+E93+E96+E99+E102+E90+E111+E129+E39+E114+E42+E132+E138+E141+E63+E135+E144+E147</f>
        <v>12250077.6</v>
      </c>
      <c r="F17" s="61">
        <f>F21+F24+F27+F30+F33+F36+F45+F48+F51+F54+F57+F60+F66+F69+F72+F75+F78+F81+F84+F87+F93+F96+F99+F102+F90+F111+F129+F39+F114+F42+F132+F138+F141+F63+F135+F144+F147</f>
        <v>12192862.100000001</v>
      </c>
      <c r="G17" s="61">
        <f>G21+G24+G27+G30+G33+G36+G45+G48+G51+G54+G57+G60+G63+G66+G69+G72+G75+G78+G81+G84+G87+G90+G93+G96+G99+G102+G42+G117+G39+G111+G114+G135+G138+G141</f>
        <v>0</v>
      </c>
      <c r="H17" s="72">
        <f t="shared" si="1"/>
        <v>99.53</v>
      </c>
    </row>
    <row r="18" spans="1:8" ht="81" customHeight="1">
      <c r="A18" s="103"/>
      <c r="B18" s="7" t="s">
        <v>19</v>
      </c>
      <c r="C18" s="18"/>
      <c r="D18" s="6"/>
      <c r="E18" s="10">
        <f>E105+E108</f>
        <v>660</v>
      </c>
      <c r="F18" s="61">
        <f>F105+F108</f>
        <v>659.3000000000001</v>
      </c>
      <c r="G18" s="61">
        <f>G105+G108</f>
        <v>0</v>
      </c>
      <c r="H18" s="72">
        <f t="shared" si="1"/>
        <v>99.89</v>
      </c>
    </row>
    <row r="19" spans="1:8" ht="25.5" customHeight="1">
      <c r="A19" s="107" t="s">
        <v>80</v>
      </c>
      <c r="B19" s="8" t="s">
        <v>3</v>
      </c>
      <c r="C19" s="17"/>
      <c r="D19" s="8"/>
      <c r="E19" s="52">
        <f>SUM(E20:E21)</f>
        <v>900920.7999999999</v>
      </c>
      <c r="F19" s="52">
        <f>SUM(F20:F21)</f>
        <v>898242.4</v>
      </c>
      <c r="G19" s="52">
        <f>SUM(G20:G21)</f>
        <v>0</v>
      </c>
      <c r="H19" s="72">
        <f t="shared" si="1"/>
        <v>99.7</v>
      </c>
    </row>
    <row r="20" spans="1:8" ht="27" customHeight="1">
      <c r="A20" s="108"/>
      <c r="B20" s="8" t="s">
        <v>4</v>
      </c>
      <c r="C20" s="27" t="s">
        <v>20</v>
      </c>
      <c r="D20" s="27" t="s">
        <v>21</v>
      </c>
      <c r="E20" s="11">
        <f>45455.2+775690+79775.6</f>
        <v>900920.7999999999</v>
      </c>
      <c r="F20" s="11">
        <f>898242.43-0.03</f>
        <v>898242.4</v>
      </c>
      <c r="G20" s="75">
        <v>0</v>
      </c>
      <c r="H20" s="66">
        <f t="shared" si="1"/>
        <v>99.7</v>
      </c>
    </row>
    <row r="21" spans="1:8" ht="21" customHeight="1">
      <c r="A21" s="109"/>
      <c r="B21" s="8" t="s">
        <v>5</v>
      </c>
      <c r="C21" s="24"/>
      <c r="D21" s="23"/>
      <c r="E21" s="11"/>
      <c r="F21" s="11"/>
      <c r="G21" s="67"/>
      <c r="H21" s="72"/>
    </row>
    <row r="22" spans="1:8" ht="56.25" customHeight="1">
      <c r="A22" s="107" t="s">
        <v>127</v>
      </c>
      <c r="B22" s="8" t="s">
        <v>3</v>
      </c>
      <c r="C22" s="24"/>
      <c r="D22" s="23"/>
      <c r="E22" s="52">
        <f>SUM(E23:E24)</f>
        <v>26010.5</v>
      </c>
      <c r="F22" s="52">
        <f>SUM(F23:F24)</f>
        <v>25549.399999999998</v>
      </c>
      <c r="G22" s="52">
        <f>SUM(G23:G24)</f>
        <v>0</v>
      </c>
      <c r="H22" s="72">
        <f t="shared" si="1"/>
        <v>98.23</v>
      </c>
    </row>
    <row r="23" spans="1:8" ht="18.75" customHeight="1">
      <c r="A23" s="108"/>
      <c r="B23" s="8" t="s">
        <v>4</v>
      </c>
      <c r="C23" s="27" t="s">
        <v>22</v>
      </c>
      <c r="D23" s="27" t="s">
        <v>23</v>
      </c>
      <c r="E23" s="11">
        <v>26010.5</v>
      </c>
      <c r="F23" s="30">
        <f>25549.44-0.04</f>
        <v>25549.399999999998</v>
      </c>
      <c r="G23" s="76">
        <v>0</v>
      </c>
      <c r="H23" s="66">
        <f t="shared" si="1"/>
        <v>98.23</v>
      </c>
    </row>
    <row r="24" spans="1:8" ht="46.5" customHeight="1">
      <c r="A24" s="109"/>
      <c r="B24" s="8" t="s">
        <v>5</v>
      </c>
      <c r="C24" s="24"/>
      <c r="D24" s="23"/>
      <c r="E24" s="11"/>
      <c r="F24" s="11"/>
      <c r="G24" s="67"/>
      <c r="H24" s="72"/>
    </row>
    <row r="25" spans="1:8" ht="24" customHeight="1">
      <c r="A25" s="107" t="s">
        <v>128</v>
      </c>
      <c r="B25" s="8" t="s">
        <v>3</v>
      </c>
      <c r="C25" s="24"/>
      <c r="D25" s="23"/>
      <c r="E25" s="52">
        <f>SUM(E26:E27)</f>
        <v>111553.79999999999</v>
      </c>
      <c r="F25" s="52">
        <f>SUM(F26:F27)</f>
        <v>109751.20000000001</v>
      </c>
      <c r="G25" s="52">
        <f>SUM(G26:G27)</f>
        <v>0</v>
      </c>
      <c r="H25" s="72">
        <f t="shared" si="1"/>
        <v>98.38</v>
      </c>
    </row>
    <row r="26" spans="1:8" ht="18.75" customHeight="1">
      <c r="A26" s="108"/>
      <c r="B26" s="8" t="s">
        <v>4</v>
      </c>
      <c r="C26" s="27" t="s">
        <v>24</v>
      </c>
      <c r="D26" s="27" t="s">
        <v>25</v>
      </c>
      <c r="E26" s="11">
        <f>3569.9+103700+4283.9</f>
        <v>111553.79999999999</v>
      </c>
      <c r="F26" s="11">
        <f>109751.24-0.04</f>
        <v>109751.20000000001</v>
      </c>
      <c r="G26" s="75">
        <v>0</v>
      </c>
      <c r="H26" s="66">
        <f t="shared" si="1"/>
        <v>98.38</v>
      </c>
    </row>
    <row r="27" spans="1:8" ht="37.5" customHeight="1">
      <c r="A27" s="109"/>
      <c r="B27" s="8" t="s">
        <v>5</v>
      </c>
      <c r="C27" s="24"/>
      <c r="D27" s="23"/>
      <c r="E27" s="12"/>
      <c r="F27" s="11"/>
      <c r="G27" s="77"/>
      <c r="H27" s="72"/>
    </row>
    <row r="28" spans="1:8" ht="21" customHeight="1">
      <c r="A28" s="111" t="s">
        <v>81</v>
      </c>
      <c r="B28" s="23" t="s">
        <v>3</v>
      </c>
      <c r="C28" s="24"/>
      <c r="D28" s="23"/>
      <c r="E28" s="53">
        <f>SUM(E29:E30)</f>
        <v>51.1</v>
      </c>
      <c r="F28" s="53">
        <f>SUM(F29:F30)</f>
        <v>51</v>
      </c>
      <c r="G28" s="78">
        <f>SUM(G29:G30)</f>
        <v>0</v>
      </c>
      <c r="H28" s="72">
        <f t="shared" si="1"/>
        <v>99.8</v>
      </c>
    </row>
    <row r="29" spans="1:8" ht="18.75" customHeight="1">
      <c r="A29" s="112"/>
      <c r="B29" s="23" t="s">
        <v>4</v>
      </c>
      <c r="C29" s="27" t="s">
        <v>26</v>
      </c>
      <c r="D29" s="27"/>
      <c r="E29" s="30">
        <v>51.1</v>
      </c>
      <c r="F29" s="30">
        <f>51.05-0.05</f>
        <v>51</v>
      </c>
      <c r="G29" s="75">
        <v>0</v>
      </c>
      <c r="H29" s="66">
        <f t="shared" si="1"/>
        <v>99.8</v>
      </c>
    </row>
    <row r="30" spans="1:8" ht="21.75" customHeight="1">
      <c r="A30" s="113"/>
      <c r="B30" s="23" t="s">
        <v>5</v>
      </c>
      <c r="C30" s="24"/>
      <c r="D30" s="23"/>
      <c r="E30" s="25"/>
      <c r="F30" s="30"/>
      <c r="G30" s="77"/>
      <c r="H30" s="72"/>
    </row>
    <row r="31" spans="1:8" ht="21.75" customHeight="1">
      <c r="A31" s="107" t="s">
        <v>82</v>
      </c>
      <c r="B31" s="8" t="s">
        <v>3</v>
      </c>
      <c r="C31" s="24"/>
      <c r="D31" s="23"/>
      <c r="E31" s="52">
        <f>SUM(E32:E33)</f>
        <v>1860.8</v>
      </c>
      <c r="F31" s="52">
        <f>SUM(F32:F33)</f>
        <v>1860.6</v>
      </c>
      <c r="G31" s="79">
        <f>SUM(G32:G33)</f>
        <v>0</v>
      </c>
      <c r="H31" s="72">
        <f t="shared" si="1"/>
        <v>99.99</v>
      </c>
    </row>
    <row r="32" spans="1:8" ht="25.5" customHeight="1">
      <c r="A32" s="108"/>
      <c r="B32" s="8" t="s">
        <v>4</v>
      </c>
      <c r="C32" s="70" t="s">
        <v>28</v>
      </c>
      <c r="D32" s="27"/>
      <c r="E32" s="11">
        <v>1860.8</v>
      </c>
      <c r="F32" s="11">
        <f>1860.58+0.02</f>
        <v>1860.6</v>
      </c>
      <c r="G32" s="75">
        <v>0</v>
      </c>
      <c r="H32" s="66">
        <f t="shared" si="1"/>
        <v>99.99</v>
      </c>
    </row>
    <row r="33" spans="1:8" ht="25.5" customHeight="1">
      <c r="A33" s="109"/>
      <c r="B33" s="8" t="s">
        <v>5</v>
      </c>
      <c r="C33" s="24"/>
      <c r="D33" s="23"/>
      <c r="E33" s="11"/>
      <c r="F33" s="11"/>
      <c r="G33" s="77"/>
      <c r="H33" s="72"/>
    </row>
    <row r="34" spans="1:8" ht="22.5" customHeight="1">
      <c r="A34" s="111" t="s">
        <v>83</v>
      </c>
      <c r="B34" s="23" t="s">
        <v>3</v>
      </c>
      <c r="C34" s="24"/>
      <c r="D34" s="23"/>
      <c r="E34" s="53">
        <f>SUM(E35:E36)</f>
        <v>28889.3</v>
      </c>
      <c r="F34" s="53">
        <f>SUM(F35:F36)</f>
        <v>27870.100000000002</v>
      </c>
      <c r="G34" s="78">
        <f>SUM(G35:G36)</f>
        <v>0</v>
      </c>
      <c r="H34" s="72">
        <f t="shared" si="1"/>
        <v>96.47</v>
      </c>
    </row>
    <row r="35" spans="1:8" ht="18.75" customHeight="1">
      <c r="A35" s="127"/>
      <c r="B35" s="23" t="s">
        <v>4</v>
      </c>
      <c r="C35" s="70" t="s">
        <v>29</v>
      </c>
      <c r="D35" s="70" t="s">
        <v>30</v>
      </c>
      <c r="E35" s="30">
        <f>150+27973.3+766</f>
        <v>28889.3</v>
      </c>
      <c r="F35" s="30">
        <f>150+26990.74+729.33+0.03</f>
        <v>27870.100000000002</v>
      </c>
      <c r="G35" s="75">
        <v>0</v>
      </c>
      <c r="H35" s="66">
        <f t="shared" si="1"/>
        <v>96.47</v>
      </c>
    </row>
    <row r="36" spans="1:8" ht="17.25" customHeight="1">
      <c r="A36" s="128"/>
      <c r="B36" s="23" t="s">
        <v>5</v>
      </c>
      <c r="C36" s="24"/>
      <c r="D36" s="23"/>
      <c r="E36" s="30"/>
      <c r="F36" s="30"/>
      <c r="G36" s="77"/>
      <c r="H36" s="72"/>
    </row>
    <row r="37" spans="1:8" ht="18.75" customHeight="1">
      <c r="A37" s="104" t="s">
        <v>85</v>
      </c>
      <c r="B37" s="21" t="s">
        <v>3</v>
      </c>
      <c r="C37" s="24"/>
      <c r="D37" s="23"/>
      <c r="E37" s="52">
        <f>SUM(E38:E39)</f>
        <v>221.1</v>
      </c>
      <c r="F37" s="52">
        <f>SUM(F38:F39)</f>
        <v>208.3</v>
      </c>
      <c r="G37" s="79">
        <f>SUM(G38:G39)</f>
        <v>0</v>
      </c>
      <c r="H37" s="72">
        <f t="shared" si="1"/>
        <v>94.21</v>
      </c>
    </row>
    <row r="38" spans="1:8" ht="19.5" customHeight="1">
      <c r="A38" s="105"/>
      <c r="B38" s="21" t="s">
        <v>4</v>
      </c>
      <c r="C38" s="70" t="s">
        <v>31</v>
      </c>
      <c r="D38" s="70" t="s">
        <v>32</v>
      </c>
      <c r="E38" s="11">
        <f>209.5+11.6</f>
        <v>221.1</v>
      </c>
      <c r="F38" s="11">
        <f>208.25+0.05</f>
        <v>208.3</v>
      </c>
      <c r="G38" s="75">
        <v>0</v>
      </c>
      <c r="H38" s="66">
        <f t="shared" si="1"/>
        <v>94.21</v>
      </c>
    </row>
    <row r="39" spans="1:8" ht="21.75" customHeight="1">
      <c r="A39" s="106"/>
      <c r="B39" s="21" t="s">
        <v>5</v>
      </c>
      <c r="C39" s="27"/>
      <c r="D39" s="90"/>
      <c r="E39" s="12"/>
      <c r="F39" s="11"/>
      <c r="G39" s="77"/>
      <c r="H39" s="72"/>
    </row>
    <row r="40" spans="1:8" ht="21.75" customHeight="1">
      <c r="A40" s="104" t="s">
        <v>84</v>
      </c>
      <c r="B40" s="21" t="s">
        <v>3</v>
      </c>
      <c r="C40" s="24"/>
      <c r="D40" s="23"/>
      <c r="E40" s="52">
        <f>SUM(E41:E42)</f>
        <v>536796.1</v>
      </c>
      <c r="F40" s="52">
        <f>SUM(F41:F42)</f>
        <v>532097</v>
      </c>
      <c r="G40" s="79">
        <f>SUM(G41:G42)</f>
        <v>0</v>
      </c>
      <c r="H40" s="72">
        <f t="shared" si="1"/>
        <v>99.12</v>
      </c>
    </row>
    <row r="41" spans="1:8" ht="17.25" customHeight="1">
      <c r="A41" s="105"/>
      <c r="B41" s="21" t="s">
        <v>4</v>
      </c>
      <c r="C41" s="70" t="s">
        <v>33</v>
      </c>
      <c r="D41" s="27"/>
      <c r="E41" s="11">
        <v>536796.1</v>
      </c>
      <c r="F41" s="30">
        <f>532097.01-0.01</f>
        <v>532097</v>
      </c>
      <c r="G41" s="75">
        <v>0</v>
      </c>
      <c r="H41" s="66">
        <f t="shared" si="1"/>
        <v>99.12</v>
      </c>
    </row>
    <row r="42" spans="1:8" ht="15" customHeight="1">
      <c r="A42" s="106"/>
      <c r="B42" s="21" t="s">
        <v>5</v>
      </c>
      <c r="C42" s="27"/>
      <c r="D42" s="90"/>
      <c r="E42" s="11"/>
      <c r="F42" s="11"/>
      <c r="G42" s="77"/>
      <c r="H42" s="72"/>
    </row>
    <row r="43" spans="1:8" ht="21" customHeight="1">
      <c r="A43" s="117" t="s">
        <v>167</v>
      </c>
      <c r="B43" s="23" t="s">
        <v>3</v>
      </c>
      <c r="C43" s="24"/>
      <c r="D43" s="23"/>
      <c r="E43" s="53">
        <f>SUM(E44:E45)</f>
        <v>12139.5</v>
      </c>
      <c r="F43" s="53">
        <f>SUM(F44:F45)</f>
        <v>11733.4</v>
      </c>
      <c r="G43" s="78">
        <f>SUM(G44:G45)</f>
        <v>0</v>
      </c>
      <c r="H43" s="72">
        <f t="shared" si="1"/>
        <v>96.65</v>
      </c>
    </row>
    <row r="44" spans="1:8" ht="21" customHeight="1">
      <c r="A44" s="118"/>
      <c r="B44" s="23" t="s">
        <v>4</v>
      </c>
      <c r="C44" s="70" t="s">
        <v>34</v>
      </c>
      <c r="D44" s="87">
        <v>390002046</v>
      </c>
      <c r="E44" s="30">
        <f>1300+8897.1+1942.4</f>
        <v>12139.5</v>
      </c>
      <c r="F44" s="30">
        <f>11733.42-0.02</f>
        <v>11733.4</v>
      </c>
      <c r="G44" s="75">
        <v>0</v>
      </c>
      <c r="H44" s="66">
        <f t="shared" si="1"/>
        <v>96.65</v>
      </c>
    </row>
    <row r="45" spans="1:8" ht="17.25" customHeight="1">
      <c r="A45" s="119"/>
      <c r="B45" s="23" t="s">
        <v>5</v>
      </c>
      <c r="C45" s="24"/>
      <c r="D45" s="23"/>
      <c r="E45" s="30"/>
      <c r="F45" s="30"/>
      <c r="G45" s="75"/>
      <c r="H45" s="72"/>
    </row>
    <row r="46" spans="1:8" ht="24" customHeight="1">
      <c r="A46" s="107" t="s">
        <v>86</v>
      </c>
      <c r="B46" s="8" t="s">
        <v>3</v>
      </c>
      <c r="C46" s="24"/>
      <c r="D46" s="23"/>
      <c r="E46" s="52">
        <f>SUM(E47:E48)</f>
        <v>1145739.2</v>
      </c>
      <c r="F46" s="52">
        <f>SUM(F47:F48)</f>
        <v>1136971.6</v>
      </c>
      <c r="G46" s="79">
        <f>SUM(G47:G48)</f>
        <v>0</v>
      </c>
      <c r="H46" s="72">
        <f t="shared" si="1"/>
        <v>99.23</v>
      </c>
    </row>
    <row r="47" spans="1:8" ht="18.75" customHeight="1">
      <c r="A47" s="108"/>
      <c r="B47" s="8" t="s">
        <v>4</v>
      </c>
      <c r="C47" s="70" t="s">
        <v>168</v>
      </c>
      <c r="D47" s="70" t="s">
        <v>169</v>
      </c>
      <c r="E47" s="11">
        <v>1145739.2</v>
      </c>
      <c r="F47" s="11">
        <f>1136971.61-0.01</f>
        <v>1136971.6</v>
      </c>
      <c r="G47" s="75">
        <v>0</v>
      </c>
      <c r="H47" s="66">
        <f t="shared" si="1"/>
        <v>99.23</v>
      </c>
    </row>
    <row r="48" spans="1:8" ht="25.5" customHeight="1">
      <c r="A48" s="109"/>
      <c r="B48" s="8" t="s">
        <v>5</v>
      </c>
      <c r="C48" s="24"/>
      <c r="D48" s="23"/>
      <c r="E48" s="11"/>
      <c r="F48" s="11"/>
      <c r="G48" s="75"/>
      <c r="H48" s="72"/>
    </row>
    <row r="49" spans="1:8" ht="18.75" customHeight="1">
      <c r="A49" s="111" t="s">
        <v>87</v>
      </c>
      <c r="B49" s="23" t="s">
        <v>3</v>
      </c>
      <c r="C49" s="24"/>
      <c r="D49" s="23"/>
      <c r="E49" s="53">
        <f>SUM(E50:E51)</f>
        <v>1177696.7</v>
      </c>
      <c r="F49" s="53">
        <f>SUM(F50:F51)</f>
        <v>1162840.3</v>
      </c>
      <c r="G49" s="78">
        <f>SUM(G50:G51)</f>
        <v>0</v>
      </c>
      <c r="H49" s="72">
        <f t="shared" si="1"/>
        <v>98.74</v>
      </c>
    </row>
    <row r="50" spans="1:8" ht="18.75" customHeight="1">
      <c r="A50" s="120"/>
      <c r="B50" s="23" t="s">
        <v>4</v>
      </c>
      <c r="C50" s="70" t="s">
        <v>35</v>
      </c>
      <c r="D50" s="27"/>
      <c r="E50" s="30">
        <v>1177696.7</v>
      </c>
      <c r="F50" s="30">
        <f>1162840.25+0.05</f>
        <v>1162840.3</v>
      </c>
      <c r="G50" s="75">
        <v>0</v>
      </c>
      <c r="H50" s="66">
        <f t="shared" si="1"/>
        <v>98.74</v>
      </c>
    </row>
    <row r="51" spans="1:8" ht="20.25" customHeight="1">
      <c r="A51" s="121"/>
      <c r="B51" s="23" t="s">
        <v>5</v>
      </c>
      <c r="C51" s="24"/>
      <c r="D51" s="23"/>
      <c r="E51" s="25"/>
      <c r="F51" s="30"/>
      <c r="G51" s="77"/>
      <c r="H51" s="72"/>
    </row>
    <row r="52" spans="1:8" ht="19.5" customHeight="1">
      <c r="A52" s="111" t="s">
        <v>88</v>
      </c>
      <c r="B52" s="23" t="s">
        <v>3</v>
      </c>
      <c r="C52" s="24"/>
      <c r="D52" s="23"/>
      <c r="E52" s="53">
        <f>SUM(E53:E54)</f>
        <v>705062.6</v>
      </c>
      <c r="F52" s="53">
        <f>SUM(F53:F54)</f>
        <v>701993.9</v>
      </c>
      <c r="G52" s="78">
        <f>SUM(G53:G54)</f>
        <v>0</v>
      </c>
      <c r="H52" s="72">
        <f t="shared" si="1"/>
        <v>99.56</v>
      </c>
    </row>
    <row r="53" spans="1:8" ht="18.75" customHeight="1">
      <c r="A53" s="112"/>
      <c r="B53" s="23" t="s">
        <v>4</v>
      </c>
      <c r="C53" s="70" t="s">
        <v>36</v>
      </c>
      <c r="D53" s="27"/>
      <c r="E53" s="30">
        <v>705062.6</v>
      </c>
      <c r="F53" s="30">
        <v>701993.9</v>
      </c>
      <c r="G53" s="75">
        <v>0</v>
      </c>
      <c r="H53" s="66">
        <f t="shared" si="1"/>
        <v>99.56</v>
      </c>
    </row>
    <row r="54" spans="1:8" ht="16.5" customHeight="1">
      <c r="A54" s="113"/>
      <c r="B54" s="23" t="s">
        <v>5</v>
      </c>
      <c r="C54" s="24"/>
      <c r="D54" s="23"/>
      <c r="E54" s="30"/>
      <c r="F54" s="30"/>
      <c r="G54" s="77"/>
      <c r="H54" s="72"/>
    </row>
    <row r="55" spans="1:8" ht="19.5" customHeight="1">
      <c r="A55" s="107" t="s">
        <v>89</v>
      </c>
      <c r="B55" s="8" t="s">
        <v>3</v>
      </c>
      <c r="C55" s="24"/>
      <c r="D55" s="23"/>
      <c r="E55" s="52">
        <f>SUM(E56:E57)</f>
        <v>1286</v>
      </c>
      <c r="F55" s="52">
        <f>SUM(F56:F57)</f>
        <v>1263.1</v>
      </c>
      <c r="G55" s="79">
        <f>SUM(G56:G57)</f>
        <v>0</v>
      </c>
      <c r="H55" s="72">
        <f t="shared" si="1"/>
        <v>98.22</v>
      </c>
    </row>
    <row r="56" spans="1:8" ht="20.25" customHeight="1">
      <c r="A56" s="108"/>
      <c r="B56" s="8" t="s">
        <v>4</v>
      </c>
      <c r="C56" s="70" t="s">
        <v>37</v>
      </c>
      <c r="D56" s="27"/>
      <c r="E56" s="30">
        <v>1286</v>
      </c>
      <c r="F56" s="30">
        <f>1263.05+0.05</f>
        <v>1263.1</v>
      </c>
      <c r="G56" s="75">
        <v>0</v>
      </c>
      <c r="H56" s="66">
        <f t="shared" si="1"/>
        <v>98.22</v>
      </c>
    </row>
    <row r="57" spans="1:8" ht="21" customHeight="1">
      <c r="A57" s="109"/>
      <c r="B57" s="8" t="s">
        <v>5</v>
      </c>
      <c r="C57" s="24"/>
      <c r="D57" s="23"/>
      <c r="E57" s="11"/>
      <c r="F57" s="11"/>
      <c r="G57" s="77"/>
      <c r="H57" s="72"/>
    </row>
    <row r="58" spans="1:8" ht="25.5" customHeight="1">
      <c r="A58" s="107" t="s">
        <v>90</v>
      </c>
      <c r="B58" s="8" t="s">
        <v>3</v>
      </c>
      <c r="C58" s="24"/>
      <c r="D58" s="23"/>
      <c r="E58" s="52">
        <f>SUM(E59:E60)</f>
        <v>13257.6</v>
      </c>
      <c r="F58" s="52">
        <f>SUM(F59:F60)</f>
        <v>13085.400000000001</v>
      </c>
      <c r="G58" s="79">
        <f>SUM(G59:G60)</f>
        <v>0</v>
      </c>
      <c r="H58" s="72">
        <f t="shared" si="1"/>
        <v>98.7</v>
      </c>
    </row>
    <row r="59" spans="1:8" ht="20.25" customHeight="1">
      <c r="A59" s="108"/>
      <c r="B59" s="8" t="s">
        <v>4</v>
      </c>
      <c r="C59" s="70" t="s">
        <v>172</v>
      </c>
      <c r="D59" s="27"/>
      <c r="E59" s="11">
        <v>13257.6</v>
      </c>
      <c r="F59" s="11">
        <f>13085.37+0.03</f>
        <v>13085.400000000001</v>
      </c>
      <c r="G59" s="75">
        <v>0</v>
      </c>
      <c r="H59" s="66">
        <f t="shared" si="1"/>
        <v>98.7</v>
      </c>
    </row>
    <row r="60" spans="1:8" ht="22.5" customHeight="1">
      <c r="A60" s="109"/>
      <c r="B60" s="8" t="s">
        <v>5</v>
      </c>
      <c r="C60" s="24"/>
      <c r="D60" s="23"/>
      <c r="E60" s="12"/>
      <c r="F60" s="11"/>
      <c r="G60" s="77"/>
      <c r="H60" s="72"/>
    </row>
    <row r="61" spans="1:8" ht="18.75" customHeight="1">
      <c r="A61" s="130" t="s">
        <v>132</v>
      </c>
      <c r="B61" s="8" t="s">
        <v>3</v>
      </c>
      <c r="C61" s="24"/>
      <c r="D61" s="23"/>
      <c r="E61" s="52">
        <f>SUM(E62:E63)</f>
        <v>448747.6</v>
      </c>
      <c r="F61" s="52">
        <f>SUM(F62:F63)</f>
        <v>448747.6</v>
      </c>
      <c r="G61" s="79">
        <f>SUM(G62:G63)</f>
        <v>0</v>
      </c>
      <c r="H61" s="72">
        <f t="shared" si="1"/>
        <v>100</v>
      </c>
    </row>
    <row r="62" spans="1:8" ht="28.5" customHeight="1">
      <c r="A62" s="108"/>
      <c r="B62" s="8" t="s">
        <v>4</v>
      </c>
      <c r="C62" s="70" t="s">
        <v>195</v>
      </c>
      <c r="D62" s="70" t="s">
        <v>196</v>
      </c>
      <c r="E62" s="30">
        <f>76287.09+0.01</f>
        <v>76287.09999999999</v>
      </c>
      <c r="F62" s="11">
        <f>76287.09+0.01</f>
        <v>76287.09999999999</v>
      </c>
      <c r="G62" s="75">
        <v>0</v>
      </c>
      <c r="H62" s="66">
        <f t="shared" si="1"/>
        <v>100</v>
      </c>
    </row>
    <row r="63" spans="1:8" ht="20.25" customHeight="1">
      <c r="A63" s="109"/>
      <c r="B63" s="8" t="s">
        <v>5</v>
      </c>
      <c r="C63" s="24"/>
      <c r="D63" s="23"/>
      <c r="E63" s="30">
        <v>372460.5</v>
      </c>
      <c r="F63" s="11">
        <v>372460.5</v>
      </c>
      <c r="G63" s="75">
        <v>0</v>
      </c>
      <c r="H63" s="66">
        <f t="shared" si="1"/>
        <v>100</v>
      </c>
    </row>
    <row r="64" spans="1:8" ht="18.75" customHeight="1">
      <c r="A64" s="107" t="s">
        <v>91</v>
      </c>
      <c r="B64" s="8" t="s">
        <v>3</v>
      </c>
      <c r="C64" s="24"/>
      <c r="D64" s="23"/>
      <c r="E64" s="52">
        <f>SUM(E65:E66)</f>
        <v>14640.8</v>
      </c>
      <c r="F64" s="52">
        <f>SUM(F65:F66)</f>
        <v>14242.5</v>
      </c>
      <c r="G64" s="79">
        <f>SUM(G65:G66)</f>
        <v>0</v>
      </c>
      <c r="H64" s="72">
        <f t="shared" si="1"/>
        <v>97.28</v>
      </c>
    </row>
    <row r="65" spans="1:8" ht="18.75" customHeight="1">
      <c r="A65" s="108"/>
      <c r="B65" s="8" t="s">
        <v>4</v>
      </c>
      <c r="C65" s="70" t="s">
        <v>173</v>
      </c>
      <c r="D65" s="27"/>
      <c r="E65" s="11">
        <v>14640.8</v>
      </c>
      <c r="F65" s="11">
        <f>14242.53-0.03</f>
        <v>14242.5</v>
      </c>
      <c r="G65" s="77">
        <v>0</v>
      </c>
      <c r="H65" s="66">
        <f t="shared" si="1"/>
        <v>97.28</v>
      </c>
    </row>
    <row r="66" spans="1:8" ht="21.75" customHeight="1">
      <c r="A66" s="109"/>
      <c r="B66" s="8" t="s">
        <v>5</v>
      </c>
      <c r="C66" s="24"/>
      <c r="D66" s="23"/>
      <c r="E66" s="11"/>
      <c r="F66" s="11"/>
      <c r="G66" s="77"/>
      <c r="H66" s="72"/>
    </row>
    <row r="67" spans="1:8" ht="36" customHeight="1">
      <c r="A67" s="107" t="s">
        <v>92</v>
      </c>
      <c r="B67" s="8" t="s">
        <v>3</v>
      </c>
      <c r="C67" s="24"/>
      <c r="D67" s="23"/>
      <c r="E67" s="52">
        <f>SUM(E68:E69)</f>
        <v>3645000</v>
      </c>
      <c r="F67" s="52">
        <f>SUM(F68:F69)</f>
        <v>3633722</v>
      </c>
      <c r="G67" s="79">
        <f>SUM(G68:G69)</f>
        <v>0</v>
      </c>
      <c r="H67" s="72">
        <f t="shared" si="1"/>
        <v>99.69</v>
      </c>
    </row>
    <row r="68" spans="1:8" ht="36.75" customHeight="1">
      <c r="A68" s="108"/>
      <c r="B68" s="8" t="s">
        <v>4</v>
      </c>
      <c r="C68" s="70" t="s">
        <v>39</v>
      </c>
      <c r="D68" s="27"/>
      <c r="E68" s="11">
        <v>3645000</v>
      </c>
      <c r="F68" s="11">
        <v>3633722</v>
      </c>
      <c r="G68" s="75">
        <v>0</v>
      </c>
      <c r="H68" s="66">
        <f t="shared" si="1"/>
        <v>99.69</v>
      </c>
    </row>
    <row r="69" spans="1:8" ht="27" customHeight="1">
      <c r="A69" s="109"/>
      <c r="B69" s="8" t="s">
        <v>5</v>
      </c>
      <c r="C69" s="24"/>
      <c r="D69" s="23"/>
      <c r="E69" s="11"/>
      <c r="F69" s="11"/>
      <c r="G69" s="77"/>
      <c r="H69" s="72"/>
    </row>
    <row r="70" spans="1:8" ht="26.25" customHeight="1">
      <c r="A70" s="111" t="s">
        <v>93</v>
      </c>
      <c r="B70" s="23" t="s">
        <v>3</v>
      </c>
      <c r="C70" s="24"/>
      <c r="D70" s="23"/>
      <c r="E70" s="53">
        <f>SUM(E71:E72)</f>
        <v>50848</v>
      </c>
      <c r="F70" s="53">
        <f>SUM(F71:F72)</f>
        <v>49923.4</v>
      </c>
      <c r="G70" s="78">
        <f>SUM(G71:G72)</f>
        <v>280.2</v>
      </c>
      <c r="H70" s="69">
        <f>ROUND((F70-G70)/E70*100,2)</f>
        <v>97.63</v>
      </c>
    </row>
    <row r="71" spans="1:8" ht="18.75" customHeight="1">
      <c r="A71" s="112"/>
      <c r="B71" s="23" t="s">
        <v>4</v>
      </c>
      <c r="C71" s="70" t="s">
        <v>40</v>
      </c>
      <c r="D71" s="70" t="s">
        <v>64</v>
      </c>
      <c r="E71" s="30">
        <v>50848</v>
      </c>
      <c r="F71" s="30">
        <f>49923.37+0.03</f>
        <v>49923.4</v>
      </c>
      <c r="G71" s="75">
        <v>280.2</v>
      </c>
      <c r="H71" s="68">
        <f>ROUND((F71-G71)/E71*100,2)</f>
        <v>97.63</v>
      </c>
    </row>
    <row r="72" spans="1:8" ht="22.5" customHeight="1">
      <c r="A72" s="113"/>
      <c r="B72" s="23" t="s">
        <v>5</v>
      </c>
      <c r="C72" s="24"/>
      <c r="D72" s="23"/>
      <c r="E72" s="25"/>
      <c r="F72" s="30"/>
      <c r="G72" s="77"/>
      <c r="H72" s="68"/>
    </row>
    <row r="73" spans="1:8" ht="24.75" customHeight="1">
      <c r="A73" s="107" t="s">
        <v>95</v>
      </c>
      <c r="B73" s="8" t="s">
        <v>3</v>
      </c>
      <c r="C73" s="24"/>
      <c r="D73" s="23"/>
      <c r="E73" s="52">
        <f>SUM(E74:E75)</f>
        <v>1624.4</v>
      </c>
      <c r="F73" s="52">
        <f>SUM(F74:F75)</f>
        <v>1624.3</v>
      </c>
      <c r="G73" s="79">
        <f>SUM(G74:G75)</f>
        <v>0</v>
      </c>
      <c r="H73" s="69">
        <f aca="true" t="shared" si="2" ref="H73:H135">ROUND((F73-G73)/E73*100,2)</f>
        <v>99.99</v>
      </c>
    </row>
    <row r="74" spans="1:8" ht="24.75" customHeight="1">
      <c r="A74" s="108"/>
      <c r="B74" s="8" t="s">
        <v>4</v>
      </c>
      <c r="C74" s="70" t="s">
        <v>75</v>
      </c>
      <c r="D74" s="27"/>
      <c r="E74" s="11">
        <v>1624.4</v>
      </c>
      <c r="F74" s="11">
        <f>1624.32-0.02</f>
        <v>1624.3</v>
      </c>
      <c r="G74" s="75">
        <v>0</v>
      </c>
      <c r="H74" s="68">
        <f t="shared" si="2"/>
        <v>99.99</v>
      </c>
    </row>
    <row r="75" spans="1:8" ht="22.5" customHeight="1">
      <c r="A75" s="109"/>
      <c r="B75" s="8" t="s">
        <v>5</v>
      </c>
      <c r="C75" s="24"/>
      <c r="D75" s="23"/>
      <c r="E75" s="52"/>
      <c r="F75" s="52"/>
      <c r="G75" s="77"/>
      <c r="H75" s="68"/>
    </row>
    <row r="76" spans="1:8" ht="26.25" customHeight="1">
      <c r="A76" s="111" t="s">
        <v>94</v>
      </c>
      <c r="B76" s="23" t="s">
        <v>3</v>
      </c>
      <c r="C76" s="24"/>
      <c r="D76" s="23"/>
      <c r="E76" s="53">
        <f>SUM(E77:E78)</f>
        <v>234.5</v>
      </c>
      <c r="F76" s="53">
        <f>SUM(F77:F78)</f>
        <v>234.4</v>
      </c>
      <c r="G76" s="78">
        <f>SUM(G77:G78)</f>
        <v>0</v>
      </c>
      <c r="H76" s="69">
        <f t="shared" si="2"/>
        <v>99.96</v>
      </c>
    </row>
    <row r="77" spans="1:8" ht="24" customHeight="1">
      <c r="A77" s="112"/>
      <c r="B77" s="23" t="s">
        <v>4</v>
      </c>
      <c r="C77" s="70" t="s">
        <v>41</v>
      </c>
      <c r="D77" s="27"/>
      <c r="E77" s="30">
        <v>234.5</v>
      </c>
      <c r="F77" s="30">
        <f>234.44-0.04</f>
        <v>234.4</v>
      </c>
      <c r="G77" s="75">
        <v>0</v>
      </c>
      <c r="H77" s="68">
        <f t="shared" si="2"/>
        <v>99.96</v>
      </c>
    </row>
    <row r="78" spans="1:8" ht="18" customHeight="1">
      <c r="A78" s="113"/>
      <c r="B78" s="23" t="s">
        <v>5</v>
      </c>
      <c r="C78" s="24"/>
      <c r="D78" s="23"/>
      <c r="E78" s="30"/>
      <c r="F78" s="30"/>
      <c r="G78" s="77"/>
      <c r="H78" s="68"/>
    </row>
    <row r="79" spans="1:8" ht="31.5" customHeight="1">
      <c r="A79" s="126" t="s">
        <v>129</v>
      </c>
      <c r="B79" s="23" t="s">
        <v>3</v>
      </c>
      <c r="C79" s="24"/>
      <c r="D79" s="23"/>
      <c r="E79" s="53">
        <f>SUM(E80:E81)</f>
        <v>123.7</v>
      </c>
      <c r="F79" s="53">
        <f>SUM(F80:F81)</f>
        <v>83.3</v>
      </c>
      <c r="G79" s="78">
        <f>SUM(G80:G81)</f>
        <v>0</v>
      </c>
      <c r="H79" s="69">
        <f t="shared" si="2"/>
        <v>67.34</v>
      </c>
    </row>
    <row r="80" spans="1:8" ht="21" customHeight="1">
      <c r="A80" s="112"/>
      <c r="B80" s="23" t="s">
        <v>4</v>
      </c>
      <c r="C80" s="27"/>
      <c r="D80" s="23"/>
      <c r="E80" s="30"/>
      <c r="F80" s="30"/>
      <c r="G80" s="77"/>
      <c r="H80" s="68"/>
    </row>
    <row r="81" spans="1:8" ht="30" customHeight="1">
      <c r="A81" s="113"/>
      <c r="B81" s="23" t="s">
        <v>5</v>
      </c>
      <c r="C81" s="70" t="s">
        <v>42</v>
      </c>
      <c r="D81" s="87" t="s">
        <v>161</v>
      </c>
      <c r="E81" s="30">
        <v>123.7</v>
      </c>
      <c r="F81" s="30">
        <f>83.35-0.05</f>
        <v>83.3</v>
      </c>
      <c r="G81" s="75">
        <v>0</v>
      </c>
      <c r="H81" s="68">
        <f t="shared" si="2"/>
        <v>67.34</v>
      </c>
    </row>
    <row r="82" spans="1:8" ht="35.25" customHeight="1">
      <c r="A82" s="111" t="s">
        <v>96</v>
      </c>
      <c r="B82" s="23" t="s">
        <v>3</v>
      </c>
      <c r="C82" s="24"/>
      <c r="D82" s="23"/>
      <c r="E82" s="53">
        <f>SUM(E83:E84)</f>
        <v>1326</v>
      </c>
      <c r="F82" s="53">
        <f>SUM(F83:F84)</f>
        <v>1307.3</v>
      </c>
      <c r="G82" s="78">
        <f>SUM(G83:G84)</f>
        <v>0</v>
      </c>
      <c r="H82" s="69">
        <f t="shared" si="2"/>
        <v>98.59</v>
      </c>
    </row>
    <row r="83" spans="1:8" ht="24" customHeight="1">
      <c r="A83" s="112"/>
      <c r="B83" s="23" t="s">
        <v>4</v>
      </c>
      <c r="C83" s="27"/>
      <c r="D83" s="23"/>
      <c r="E83" s="30"/>
      <c r="F83" s="30"/>
      <c r="G83" s="77"/>
      <c r="H83" s="68"/>
    </row>
    <row r="84" spans="1:8" ht="33.75" customHeight="1">
      <c r="A84" s="113"/>
      <c r="B84" s="23" t="s">
        <v>5</v>
      </c>
      <c r="C84" s="70" t="s">
        <v>43</v>
      </c>
      <c r="D84" s="87" t="s">
        <v>164</v>
      </c>
      <c r="E84" s="30">
        <v>1326</v>
      </c>
      <c r="F84" s="30">
        <f>1307.33-0.03</f>
        <v>1307.3</v>
      </c>
      <c r="G84" s="75">
        <v>0</v>
      </c>
      <c r="H84" s="68">
        <f t="shared" si="2"/>
        <v>98.59</v>
      </c>
    </row>
    <row r="85" spans="1:8" ht="33.75" customHeight="1">
      <c r="A85" s="111" t="s">
        <v>97</v>
      </c>
      <c r="B85" s="23" t="s">
        <v>3</v>
      </c>
      <c r="C85" s="24"/>
      <c r="D85" s="23"/>
      <c r="E85" s="53">
        <f>SUM(E86:E87)</f>
        <v>123.8</v>
      </c>
      <c r="F85" s="53">
        <f>SUM(F86:F87)</f>
        <v>6.6000000000000005</v>
      </c>
      <c r="G85" s="78">
        <f>SUM(G86:G87)</f>
        <v>0</v>
      </c>
      <c r="H85" s="69">
        <f t="shared" si="2"/>
        <v>5.33</v>
      </c>
    </row>
    <row r="86" spans="1:8" ht="26.25" customHeight="1">
      <c r="A86" s="112"/>
      <c r="B86" s="23" t="s">
        <v>4</v>
      </c>
      <c r="C86" s="27"/>
      <c r="D86" s="23"/>
      <c r="E86" s="30"/>
      <c r="F86" s="30"/>
      <c r="G86" s="77"/>
      <c r="H86" s="68"/>
    </row>
    <row r="87" spans="1:8" ht="93" customHeight="1">
      <c r="A87" s="113"/>
      <c r="B87" s="23" t="s">
        <v>5</v>
      </c>
      <c r="C87" s="70" t="s">
        <v>44</v>
      </c>
      <c r="D87" s="87" t="s">
        <v>184</v>
      </c>
      <c r="E87" s="30">
        <v>123.8</v>
      </c>
      <c r="F87" s="30">
        <f>6.61-0.01</f>
        <v>6.6000000000000005</v>
      </c>
      <c r="G87" s="75">
        <v>0</v>
      </c>
      <c r="H87" s="68">
        <f t="shared" si="2"/>
        <v>5.33</v>
      </c>
    </row>
    <row r="88" spans="1:8" ht="33.75" customHeight="1">
      <c r="A88" s="111" t="s">
        <v>130</v>
      </c>
      <c r="B88" s="23" t="s">
        <v>3</v>
      </c>
      <c r="C88" s="24"/>
      <c r="D88" s="23"/>
      <c r="E88" s="53">
        <f>SUM(E89:E90)</f>
        <v>29424.5</v>
      </c>
      <c r="F88" s="53">
        <f>SUM(F89:F90)</f>
        <v>28573.5</v>
      </c>
      <c r="G88" s="78">
        <f>SUM(G89:G90)</f>
        <v>0</v>
      </c>
      <c r="H88" s="69">
        <f t="shared" si="2"/>
        <v>97.11</v>
      </c>
    </row>
    <row r="89" spans="1:8" ht="22.5" customHeight="1">
      <c r="A89" s="112"/>
      <c r="B89" s="23" t="s">
        <v>4</v>
      </c>
      <c r="C89" s="24"/>
      <c r="D89" s="23"/>
      <c r="E89" s="30"/>
      <c r="F89" s="30"/>
      <c r="G89" s="77"/>
      <c r="H89" s="69"/>
    </row>
    <row r="90" spans="1:8" ht="26.25" customHeight="1">
      <c r="A90" s="113"/>
      <c r="B90" s="23" t="s">
        <v>5</v>
      </c>
      <c r="C90" s="70" t="s">
        <v>180</v>
      </c>
      <c r="D90" s="88" t="s">
        <v>181</v>
      </c>
      <c r="E90" s="30">
        <v>29424.5</v>
      </c>
      <c r="F90" s="30">
        <f>28573.51-0.01</f>
        <v>28573.5</v>
      </c>
      <c r="G90" s="75">
        <v>0</v>
      </c>
      <c r="H90" s="68">
        <f t="shared" si="2"/>
        <v>97.11</v>
      </c>
    </row>
    <row r="91" spans="1:8" ht="27" customHeight="1">
      <c r="A91" s="111" t="s">
        <v>98</v>
      </c>
      <c r="B91" s="23" t="s">
        <v>3</v>
      </c>
      <c r="C91" s="24"/>
      <c r="D91" s="23"/>
      <c r="E91" s="53">
        <f>SUM(E92:E93)</f>
        <v>194883.8</v>
      </c>
      <c r="F91" s="53">
        <f>SUM(F92:F93)</f>
        <v>194858.30000000002</v>
      </c>
      <c r="G91" s="78">
        <f>SUM(G92:G93)</f>
        <v>0</v>
      </c>
      <c r="H91" s="69">
        <f t="shared" si="2"/>
        <v>99.99</v>
      </c>
    </row>
    <row r="92" spans="1:8" ht="18.75" customHeight="1">
      <c r="A92" s="112"/>
      <c r="B92" s="23" t="s">
        <v>4</v>
      </c>
      <c r="C92" s="24"/>
      <c r="D92" s="23"/>
      <c r="E92" s="30"/>
      <c r="F92" s="30"/>
      <c r="G92" s="77"/>
      <c r="H92" s="69"/>
    </row>
    <row r="93" spans="1:8" ht="25.5" customHeight="1">
      <c r="A93" s="113"/>
      <c r="B93" s="23" t="s">
        <v>5</v>
      </c>
      <c r="C93" s="70" t="s">
        <v>45</v>
      </c>
      <c r="D93" s="88" t="s">
        <v>160</v>
      </c>
      <c r="E93" s="30">
        <f>194883.78+0.02</f>
        <v>194883.8</v>
      </c>
      <c r="F93" s="30">
        <f>194858.26+0.04</f>
        <v>194858.30000000002</v>
      </c>
      <c r="G93" s="75">
        <v>0</v>
      </c>
      <c r="H93" s="68">
        <f t="shared" si="2"/>
        <v>99.99</v>
      </c>
    </row>
    <row r="94" spans="1:8" ht="28.5" customHeight="1">
      <c r="A94" s="111" t="s">
        <v>99</v>
      </c>
      <c r="B94" s="23" t="s">
        <v>3</v>
      </c>
      <c r="C94" s="24"/>
      <c r="D94" s="23"/>
      <c r="E94" s="53">
        <f>SUM(E95:E96)</f>
        <v>1482260</v>
      </c>
      <c r="F94" s="53">
        <f>SUM(F95:F96)</f>
        <v>1467043.2</v>
      </c>
      <c r="G94" s="78">
        <f>SUM(G95:G96)</f>
        <v>0</v>
      </c>
      <c r="H94" s="69">
        <f t="shared" si="2"/>
        <v>98.97</v>
      </c>
    </row>
    <row r="95" spans="1:8" ht="18.75" customHeight="1">
      <c r="A95" s="112"/>
      <c r="B95" s="23" t="s">
        <v>4</v>
      </c>
      <c r="C95" s="24"/>
      <c r="D95" s="23"/>
      <c r="E95" s="30"/>
      <c r="F95" s="30"/>
      <c r="G95" s="77"/>
      <c r="H95" s="68"/>
    </row>
    <row r="96" spans="1:8" ht="27.75" customHeight="1">
      <c r="A96" s="113"/>
      <c r="B96" s="23" t="s">
        <v>5</v>
      </c>
      <c r="C96" s="70" t="s">
        <v>46</v>
      </c>
      <c r="D96" s="88" t="s">
        <v>162</v>
      </c>
      <c r="E96" s="30">
        <v>1482260</v>
      </c>
      <c r="F96" s="30">
        <f>1467043.21-0.01</f>
        <v>1467043.2</v>
      </c>
      <c r="G96" s="75">
        <v>0</v>
      </c>
      <c r="H96" s="68">
        <f t="shared" si="2"/>
        <v>98.97</v>
      </c>
    </row>
    <row r="97" spans="1:8" ht="26.25" customHeight="1">
      <c r="A97" s="111" t="s">
        <v>100</v>
      </c>
      <c r="B97" s="23" t="s">
        <v>3</v>
      </c>
      <c r="C97" s="24"/>
      <c r="D97" s="23"/>
      <c r="E97" s="53">
        <f>SUM(E98:E99)</f>
        <v>167.4</v>
      </c>
      <c r="F97" s="53">
        <f>SUM(F98:F99)</f>
        <v>110.8</v>
      </c>
      <c r="G97" s="78">
        <f>SUM(G98:G99)</f>
        <v>0</v>
      </c>
      <c r="H97" s="69">
        <f t="shared" si="2"/>
        <v>66.19</v>
      </c>
    </row>
    <row r="98" spans="1:8" ht="18.75" customHeight="1">
      <c r="A98" s="112"/>
      <c r="B98" s="23" t="s">
        <v>4</v>
      </c>
      <c r="C98" s="70" t="s">
        <v>170</v>
      </c>
      <c r="D98" s="23"/>
      <c r="E98" s="30">
        <v>167.4</v>
      </c>
      <c r="F98" s="30">
        <v>110.8</v>
      </c>
      <c r="G98" s="75">
        <v>0</v>
      </c>
      <c r="H98" s="68">
        <f t="shared" si="2"/>
        <v>66.19</v>
      </c>
    </row>
    <row r="99" spans="1:8" ht="17.25" customHeight="1">
      <c r="A99" s="113"/>
      <c r="B99" s="23" t="s">
        <v>5</v>
      </c>
      <c r="C99" s="27"/>
      <c r="D99" s="29"/>
      <c r="E99" s="30"/>
      <c r="F99" s="30"/>
      <c r="G99" s="75"/>
      <c r="H99" s="68"/>
    </row>
    <row r="100" spans="1:8" ht="31.5" customHeight="1">
      <c r="A100" s="111" t="s">
        <v>101</v>
      </c>
      <c r="B100" s="23" t="s">
        <v>3</v>
      </c>
      <c r="C100" s="24"/>
      <c r="D100" s="23"/>
      <c r="E100" s="53">
        <f>SUM(E101:E102)</f>
        <v>1641239.5</v>
      </c>
      <c r="F100" s="53">
        <f>SUM(F101:F102)</f>
        <v>1639335.8</v>
      </c>
      <c r="G100" s="78">
        <f>SUM(G101:G102)</f>
        <v>0</v>
      </c>
      <c r="H100" s="69">
        <f t="shared" si="2"/>
        <v>99.88</v>
      </c>
    </row>
    <row r="101" spans="1:8" ht="25.5" customHeight="1">
      <c r="A101" s="112"/>
      <c r="B101" s="23" t="s">
        <v>4</v>
      </c>
      <c r="C101" s="24"/>
      <c r="D101" s="23"/>
      <c r="E101" s="30"/>
      <c r="F101" s="30"/>
      <c r="G101" s="75"/>
      <c r="H101" s="69"/>
    </row>
    <row r="102" spans="1:8" ht="40.5" customHeight="1">
      <c r="A102" s="113"/>
      <c r="B102" s="23" t="s">
        <v>5</v>
      </c>
      <c r="C102" s="70" t="s">
        <v>182</v>
      </c>
      <c r="D102" s="88" t="s">
        <v>183</v>
      </c>
      <c r="E102" s="30">
        <v>1641239.5</v>
      </c>
      <c r="F102" s="30">
        <f>1639335.81-0.01</f>
        <v>1639335.8</v>
      </c>
      <c r="G102" s="75">
        <v>0</v>
      </c>
      <c r="H102" s="68">
        <f t="shared" si="2"/>
        <v>99.88</v>
      </c>
    </row>
    <row r="103" spans="1:8" ht="25.5" customHeight="1">
      <c r="A103" s="111" t="s">
        <v>14</v>
      </c>
      <c r="B103" s="23" t="s">
        <v>3</v>
      </c>
      <c r="C103" s="24"/>
      <c r="D103" s="23"/>
      <c r="E103" s="53">
        <f>SUM(E104:E105)</f>
        <v>74.60000000000001</v>
      </c>
      <c r="F103" s="53">
        <f>SUM(F104:F105)</f>
        <v>74.60000000000001</v>
      </c>
      <c r="G103" s="78">
        <f>SUM(G104:G105)</f>
        <v>0</v>
      </c>
      <c r="H103" s="69">
        <f t="shared" si="2"/>
        <v>100</v>
      </c>
    </row>
    <row r="104" spans="1:8" ht="18.75" customHeight="1">
      <c r="A104" s="112"/>
      <c r="B104" s="23" t="s">
        <v>4</v>
      </c>
      <c r="C104" s="24"/>
      <c r="D104" s="23"/>
      <c r="E104" s="30"/>
      <c r="F104" s="30"/>
      <c r="G104" s="77"/>
      <c r="H104" s="69"/>
    </row>
    <row r="105" spans="1:8" ht="77.25" customHeight="1">
      <c r="A105" s="113"/>
      <c r="B105" s="26" t="s">
        <v>19</v>
      </c>
      <c r="C105" s="70" t="s">
        <v>163</v>
      </c>
      <c r="D105" s="27" t="s">
        <v>65</v>
      </c>
      <c r="E105" s="30">
        <f>74.62-0.02</f>
        <v>74.60000000000001</v>
      </c>
      <c r="F105" s="30">
        <f>74.62-0.02</f>
        <v>74.60000000000001</v>
      </c>
      <c r="G105" s="75">
        <v>0</v>
      </c>
      <c r="H105" s="68">
        <f t="shared" si="2"/>
        <v>100</v>
      </c>
    </row>
    <row r="106" spans="1:8" ht="18.75" customHeight="1">
      <c r="A106" s="111" t="s">
        <v>15</v>
      </c>
      <c r="B106" s="23" t="s">
        <v>3</v>
      </c>
      <c r="C106" s="24"/>
      <c r="D106" s="23"/>
      <c r="E106" s="53">
        <f>SUM(E107:E108)</f>
        <v>585.4</v>
      </c>
      <c r="F106" s="53">
        <f>SUM(F107:F108)</f>
        <v>584.7</v>
      </c>
      <c r="G106" s="78">
        <f>SUM(G107:G108)</f>
        <v>0</v>
      </c>
      <c r="H106" s="69">
        <f t="shared" si="2"/>
        <v>99.88</v>
      </c>
    </row>
    <row r="107" spans="1:8" ht="18.75" customHeight="1">
      <c r="A107" s="112"/>
      <c r="B107" s="23" t="s">
        <v>4</v>
      </c>
      <c r="C107" s="24"/>
      <c r="D107" s="23"/>
      <c r="E107" s="30"/>
      <c r="F107" s="30"/>
      <c r="G107" s="75"/>
      <c r="H107" s="69"/>
    </row>
    <row r="108" spans="1:8" ht="71.25" customHeight="1">
      <c r="A108" s="113"/>
      <c r="B108" s="26" t="s">
        <v>19</v>
      </c>
      <c r="C108" s="27" t="s">
        <v>47</v>
      </c>
      <c r="D108" s="27" t="s">
        <v>66</v>
      </c>
      <c r="E108" s="30">
        <f>585.36+0.04</f>
        <v>585.4</v>
      </c>
      <c r="F108" s="30">
        <f>584.72-0.02</f>
        <v>584.7</v>
      </c>
      <c r="G108" s="75">
        <v>0</v>
      </c>
      <c r="H108" s="68">
        <f t="shared" si="2"/>
        <v>99.88</v>
      </c>
    </row>
    <row r="109" spans="1:8" ht="22.5" customHeight="1">
      <c r="A109" s="111" t="s">
        <v>13</v>
      </c>
      <c r="B109" s="23" t="s">
        <v>3</v>
      </c>
      <c r="C109" s="24"/>
      <c r="D109" s="23"/>
      <c r="E109" s="53">
        <f>SUM(E110:E111)</f>
        <v>16515.5</v>
      </c>
      <c r="F109" s="53">
        <f>SUM(F110:F111)</f>
        <v>16138</v>
      </c>
      <c r="G109" s="78">
        <f>SUM(G110:G111)</f>
        <v>0</v>
      </c>
      <c r="H109" s="69">
        <f t="shared" si="2"/>
        <v>97.71</v>
      </c>
    </row>
    <row r="110" spans="1:8" ht="18.75" customHeight="1">
      <c r="A110" s="112"/>
      <c r="B110" s="23" t="s">
        <v>4</v>
      </c>
      <c r="C110" s="24"/>
      <c r="D110" s="23"/>
      <c r="E110" s="30"/>
      <c r="F110" s="30"/>
      <c r="G110" s="75"/>
      <c r="H110" s="69"/>
    </row>
    <row r="111" spans="1:8" ht="30" customHeight="1">
      <c r="A111" s="113"/>
      <c r="B111" s="23" t="s">
        <v>5</v>
      </c>
      <c r="C111" s="27" t="s">
        <v>48</v>
      </c>
      <c r="D111" s="88" t="s">
        <v>159</v>
      </c>
      <c r="E111" s="30">
        <v>16515.5</v>
      </c>
      <c r="F111" s="30">
        <f>16137.97+0.03</f>
        <v>16138</v>
      </c>
      <c r="G111" s="75">
        <v>0</v>
      </c>
      <c r="H111" s="68">
        <f t="shared" si="2"/>
        <v>97.71</v>
      </c>
    </row>
    <row r="112" spans="1:8" ht="26.25" customHeight="1">
      <c r="A112" s="131" t="s">
        <v>102</v>
      </c>
      <c r="B112" s="38" t="s">
        <v>3</v>
      </c>
      <c r="C112" s="39" t="s">
        <v>177</v>
      </c>
      <c r="D112" s="40"/>
      <c r="E112" s="54">
        <f>SUM(E113:E114)</f>
        <v>4283627.5</v>
      </c>
      <c r="F112" s="54">
        <f>SUM(F113:F114)</f>
        <v>4271864.700000001</v>
      </c>
      <c r="G112" s="80">
        <f>SUM(G113:G114)</f>
        <v>0</v>
      </c>
      <c r="H112" s="69">
        <f t="shared" si="2"/>
        <v>99.73</v>
      </c>
    </row>
    <row r="113" spans="1:8" ht="23.25" customHeight="1">
      <c r="A113" s="132"/>
      <c r="B113" s="38" t="s">
        <v>4</v>
      </c>
      <c r="C113" s="39"/>
      <c r="D113" s="40"/>
      <c r="E113" s="55">
        <f aca="true" t="shared" si="3" ref="E113:G114">E116+E119+E122+E125</f>
        <v>1103094.5</v>
      </c>
      <c r="F113" s="55">
        <f t="shared" si="3"/>
        <v>1098880.3000000003</v>
      </c>
      <c r="G113" s="81">
        <f t="shared" si="3"/>
        <v>0</v>
      </c>
      <c r="H113" s="68">
        <f t="shared" si="2"/>
        <v>99.62</v>
      </c>
    </row>
    <row r="114" spans="1:8" ht="22.5" customHeight="1">
      <c r="A114" s="133"/>
      <c r="B114" s="38" t="s">
        <v>5</v>
      </c>
      <c r="C114" s="39"/>
      <c r="D114" s="40"/>
      <c r="E114" s="55">
        <f t="shared" si="3"/>
        <v>3180533</v>
      </c>
      <c r="F114" s="55">
        <f t="shared" si="3"/>
        <v>3172984.4000000004</v>
      </c>
      <c r="G114" s="81">
        <f t="shared" si="3"/>
        <v>0</v>
      </c>
      <c r="H114" s="68">
        <f t="shared" si="2"/>
        <v>99.76</v>
      </c>
    </row>
    <row r="115" spans="1:8" ht="21.75" customHeight="1">
      <c r="A115" s="129" t="s">
        <v>103</v>
      </c>
      <c r="B115" s="23" t="s">
        <v>3</v>
      </c>
      <c r="C115" s="27"/>
      <c r="D115" s="28"/>
      <c r="E115" s="53">
        <f>SUM(E116:E117)</f>
        <v>563572.9</v>
      </c>
      <c r="F115" s="53">
        <f>SUM(F116:F117)</f>
        <v>559366.1000000001</v>
      </c>
      <c r="G115" s="78">
        <f>SUM(G116:G117)</f>
        <v>0</v>
      </c>
      <c r="H115" s="69">
        <f t="shared" si="2"/>
        <v>99.25</v>
      </c>
    </row>
    <row r="116" spans="1:8" ht="28.5" customHeight="1">
      <c r="A116" s="115"/>
      <c r="B116" s="23" t="s">
        <v>4</v>
      </c>
      <c r="C116" s="70" t="s">
        <v>178</v>
      </c>
      <c r="D116" s="89" t="s">
        <v>27</v>
      </c>
      <c r="E116" s="30">
        <f>4835+457369.4+101368.5</f>
        <v>563572.9</v>
      </c>
      <c r="F116" s="30">
        <f>559366.05+0.05</f>
        <v>559366.1000000001</v>
      </c>
      <c r="G116" s="75">
        <v>0</v>
      </c>
      <c r="H116" s="68">
        <f t="shared" si="2"/>
        <v>99.25</v>
      </c>
    </row>
    <row r="117" spans="1:8" ht="27.75" customHeight="1">
      <c r="A117" s="116"/>
      <c r="B117" s="23" t="s">
        <v>5</v>
      </c>
      <c r="C117" s="27"/>
      <c r="D117" s="28"/>
      <c r="E117" s="25"/>
      <c r="F117" s="30"/>
      <c r="G117" s="77"/>
      <c r="H117" s="69"/>
    </row>
    <row r="118" spans="1:8" ht="21.75" customHeight="1">
      <c r="A118" s="126" t="s">
        <v>104</v>
      </c>
      <c r="B118" s="23" t="s">
        <v>3</v>
      </c>
      <c r="C118" s="27"/>
      <c r="D118" s="28"/>
      <c r="E118" s="53">
        <f>SUM(E119:E120)</f>
        <v>302800</v>
      </c>
      <c r="F118" s="53">
        <f>SUM(F119:F120)</f>
        <v>302792.60000000003</v>
      </c>
      <c r="G118" s="78">
        <f>SUM(G119:G120)</f>
        <v>0</v>
      </c>
      <c r="H118" s="69">
        <f t="shared" si="2"/>
        <v>100</v>
      </c>
    </row>
    <row r="119" spans="1:8" ht="21.75" customHeight="1">
      <c r="A119" s="135"/>
      <c r="B119" s="23" t="s">
        <v>4</v>
      </c>
      <c r="C119" s="70" t="s">
        <v>179</v>
      </c>
      <c r="D119" s="28"/>
      <c r="E119" s="30">
        <v>302800</v>
      </c>
      <c r="F119" s="30">
        <f>302792.58+0.02</f>
        <v>302792.60000000003</v>
      </c>
      <c r="G119" s="75">
        <v>0</v>
      </c>
      <c r="H119" s="68">
        <f t="shared" si="2"/>
        <v>100</v>
      </c>
    </row>
    <row r="120" spans="1:8" ht="25.5" customHeight="1">
      <c r="A120" s="136"/>
      <c r="B120" s="23" t="s">
        <v>5</v>
      </c>
      <c r="C120" s="27"/>
      <c r="D120" s="28"/>
      <c r="E120" s="25"/>
      <c r="F120" s="30"/>
      <c r="G120" s="77"/>
      <c r="H120" s="69"/>
    </row>
    <row r="121" spans="1:8" ht="21.75" customHeight="1">
      <c r="A121" s="129" t="s">
        <v>105</v>
      </c>
      <c r="B121" s="23" t="s">
        <v>3</v>
      </c>
      <c r="C121" s="27"/>
      <c r="D121" s="28"/>
      <c r="E121" s="53">
        <f>SUM(E122:E123)</f>
        <v>2024774.7</v>
      </c>
      <c r="F121" s="53">
        <f>SUM(F122:F123)</f>
        <v>2017226.1</v>
      </c>
      <c r="G121" s="78">
        <f>SUM(G122:G123)</f>
        <v>0</v>
      </c>
      <c r="H121" s="69">
        <f t="shared" si="2"/>
        <v>99.63</v>
      </c>
    </row>
    <row r="122" spans="1:8" ht="20.25" customHeight="1">
      <c r="A122" s="115"/>
      <c r="B122" s="23" t="s">
        <v>4</v>
      </c>
      <c r="C122" s="70"/>
      <c r="D122" s="46"/>
      <c r="E122" s="30"/>
      <c r="F122" s="30"/>
      <c r="G122" s="77"/>
      <c r="H122" s="69"/>
    </row>
    <row r="123" spans="1:8" ht="27" customHeight="1">
      <c r="A123" s="116"/>
      <c r="B123" s="23" t="s">
        <v>5</v>
      </c>
      <c r="C123" s="70" t="s">
        <v>193</v>
      </c>
      <c r="D123" s="88" t="s">
        <v>194</v>
      </c>
      <c r="E123" s="30">
        <v>2024774.7</v>
      </c>
      <c r="F123" s="30">
        <f>2017226.09+0.01</f>
        <v>2017226.1</v>
      </c>
      <c r="G123" s="75">
        <v>0</v>
      </c>
      <c r="H123" s="68">
        <f t="shared" si="2"/>
        <v>99.63</v>
      </c>
    </row>
    <row r="124" spans="1:8" ht="21.75" customHeight="1">
      <c r="A124" s="114" t="s">
        <v>190</v>
      </c>
      <c r="B124" s="23" t="s">
        <v>3</v>
      </c>
      <c r="C124" s="27"/>
      <c r="D124" s="28"/>
      <c r="E124" s="53">
        <f>SUM(E125:E126)</f>
        <v>1392479.9</v>
      </c>
      <c r="F124" s="53">
        <f>SUM(F125:F126)</f>
        <v>1392479.9</v>
      </c>
      <c r="G124" s="78">
        <f>SUM(G125:G126)</f>
        <v>0</v>
      </c>
      <c r="H124" s="69">
        <f t="shared" si="2"/>
        <v>100</v>
      </c>
    </row>
    <row r="125" spans="1:8" ht="28.5" customHeight="1">
      <c r="A125" s="115"/>
      <c r="B125" s="23" t="s">
        <v>4</v>
      </c>
      <c r="C125" s="70" t="s">
        <v>191</v>
      </c>
      <c r="D125" s="88" t="s">
        <v>192</v>
      </c>
      <c r="E125" s="30">
        <f>236721.58+0.02</f>
        <v>236721.59999999998</v>
      </c>
      <c r="F125" s="30">
        <f>236721.58+0.02</f>
        <v>236721.59999999998</v>
      </c>
      <c r="G125" s="75">
        <v>0</v>
      </c>
      <c r="H125" s="68">
        <f t="shared" si="2"/>
        <v>100</v>
      </c>
    </row>
    <row r="126" spans="1:8" ht="21.75" customHeight="1">
      <c r="A126" s="116"/>
      <c r="B126" s="23" t="s">
        <v>5</v>
      </c>
      <c r="C126" s="27"/>
      <c r="D126" s="28"/>
      <c r="E126" s="30">
        <v>1155758.3</v>
      </c>
      <c r="F126" s="30">
        <v>1155758.3</v>
      </c>
      <c r="G126" s="75">
        <v>0</v>
      </c>
      <c r="H126" s="68">
        <f t="shared" si="2"/>
        <v>100</v>
      </c>
    </row>
    <row r="127" spans="1:8" ht="21.75" customHeight="1">
      <c r="A127" s="129" t="s">
        <v>12</v>
      </c>
      <c r="B127" s="23" t="s">
        <v>3</v>
      </c>
      <c r="C127" s="27"/>
      <c r="D127" s="28"/>
      <c r="E127" s="53">
        <f>SUM(E128:E129)</f>
        <v>2070</v>
      </c>
      <c r="F127" s="53">
        <f>SUM(F128:F129)</f>
        <v>2043</v>
      </c>
      <c r="G127" s="78">
        <f>SUM(G128:G129)</f>
        <v>0</v>
      </c>
      <c r="H127" s="69">
        <f t="shared" si="2"/>
        <v>98.7</v>
      </c>
    </row>
    <row r="128" spans="1:8" ht="21.75" customHeight="1">
      <c r="A128" s="115"/>
      <c r="B128" s="23" t="s">
        <v>4</v>
      </c>
      <c r="C128" s="70" t="s">
        <v>187</v>
      </c>
      <c r="D128" s="28"/>
      <c r="E128" s="30">
        <v>2070</v>
      </c>
      <c r="F128" s="30">
        <f>2043.02-0.02</f>
        <v>2043</v>
      </c>
      <c r="G128" s="75">
        <v>0</v>
      </c>
      <c r="H128" s="68">
        <f t="shared" si="2"/>
        <v>98.7</v>
      </c>
    </row>
    <row r="129" spans="1:8" ht="21.75" customHeight="1">
      <c r="A129" s="116"/>
      <c r="B129" s="23" t="s">
        <v>5</v>
      </c>
      <c r="C129" s="27"/>
      <c r="D129" s="28"/>
      <c r="E129" s="30"/>
      <c r="F129" s="30"/>
      <c r="G129" s="75"/>
      <c r="H129" s="69"/>
    </row>
    <row r="130" spans="1:8" ht="39.75" customHeight="1">
      <c r="A130" s="114" t="s">
        <v>134</v>
      </c>
      <c r="B130" s="23" t="s">
        <v>3</v>
      </c>
      <c r="C130" s="27"/>
      <c r="D130" s="28"/>
      <c r="E130" s="53">
        <f>SUM(E131:E132)</f>
        <v>14777.2</v>
      </c>
      <c r="F130" s="53">
        <f>SUM(F131:F132)</f>
        <v>14508.300000000001</v>
      </c>
      <c r="G130" s="78">
        <f>SUM(G131:G132)</f>
        <v>0</v>
      </c>
      <c r="H130" s="69">
        <f t="shared" si="2"/>
        <v>98.18</v>
      </c>
    </row>
    <row r="131" spans="1:8" ht="28.5" customHeight="1">
      <c r="A131" s="115"/>
      <c r="B131" s="23" t="s">
        <v>4</v>
      </c>
      <c r="C131" s="70" t="s">
        <v>171</v>
      </c>
      <c r="D131" s="28"/>
      <c r="E131" s="30">
        <v>14777.2</v>
      </c>
      <c r="F131" s="30">
        <f>14508.26+0.04</f>
        <v>14508.300000000001</v>
      </c>
      <c r="G131" s="75">
        <v>0</v>
      </c>
      <c r="H131" s="68">
        <f t="shared" si="2"/>
        <v>98.18</v>
      </c>
    </row>
    <row r="132" spans="1:8" ht="27.75" customHeight="1">
      <c r="A132" s="116"/>
      <c r="B132" s="23" t="s">
        <v>5</v>
      </c>
      <c r="C132" s="27"/>
      <c r="D132" s="28"/>
      <c r="E132" s="25"/>
      <c r="F132" s="30"/>
      <c r="G132" s="75"/>
      <c r="H132" s="69"/>
    </row>
    <row r="133" spans="1:8" ht="22.5" customHeight="1">
      <c r="A133" s="114" t="s">
        <v>174</v>
      </c>
      <c r="B133" s="23" t="s">
        <v>3</v>
      </c>
      <c r="C133" s="27"/>
      <c r="D133" s="28"/>
      <c r="E133" s="53">
        <f>SUM(E134:E135)</f>
        <v>16485.4</v>
      </c>
      <c r="F133" s="53">
        <f>SUM(F134:F135)</f>
        <v>16485.4</v>
      </c>
      <c r="G133" s="78">
        <f>SUM(G134:G135)</f>
        <v>0</v>
      </c>
      <c r="H133" s="69">
        <f t="shared" si="2"/>
        <v>100</v>
      </c>
    </row>
    <row r="134" spans="1:8" ht="27" customHeight="1">
      <c r="A134" s="115"/>
      <c r="B134" s="23" t="s">
        <v>4</v>
      </c>
      <c r="C134" s="70" t="s">
        <v>175</v>
      </c>
      <c r="D134" s="46" t="s">
        <v>176</v>
      </c>
      <c r="E134" s="30">
        <f>16485.4-E135</f>
        <v>2802.500000000002</v>
      </c>
      <c r="F134" s="30">
        <v>2802.5</v>
      </c>
      <c r="G134" s="75">
        <v>0</v>
      </c>
      <c r="H134" s="68">
        <f t="shared" si="2"/>
        <v>100</v>
      </c>
    </row>
    <row r="135" spans="1:8" ht="25.5" customHeight="1">
      <c r="A135" s="116"/>
      <c r="B135" s="23" t="s">
        <v>5</v>
      </c>
      <c r="C135" s="70" t="s">
        <v>175</v>
      </c>
      <c r="D135" s="46" t="s">
        <v>176</v>
      </c>
      <c r="E135" s="30">
        <v>13682.9</v>
      </c>
      <c r="F135" s="30">
        <v>13682.9</v>
      </c>
      <c r="G135" s="75">
        <v>0</v>
      </c>
      <c r="H135" s="68">
        <f t="shared" si="2"/>
        <v>100</v>
      </c>
    </row>
    <row r="136" spans="1:8" ht="21.75" customHeight="1">
      <c r="A136" s="114" t="s">
        <v>135</v>
      </c>
      <c r="B136" s="23" t="s">
        <v>3</v>
      </c>
      <c r="C136" s="27"/>
      <c r="D136" s="28"/>
      <c r="E136" s="53">
        <f>SUM(E137:E138)</f>
        <v>6314101.630000001</v>
      </c>
      <c r="F136" s="53">
        <f>SUM(F137:F138)</f>
        <v>6308600.300000001</v>
      </c>
      <c r="G136" s="78">
        <f>SUM(G137:G138)</f>
        <v>0</v>
      </c>
      <c r="H136" s="69">
        <f aca="true" t="shared" si="4" ref="H136:H199">ROUND((F136-G136)/E136*100,2)</f>
        <v>99.91</v>
      </c>
    </row>
    <row r="137" spans="1:8" ht="65.25" customHeight="1">
      <c r="A137" s="115"/>
      <c r="B137" s="23" t="s">
        <v>4</v>
      </c>
      <c r="C137" s="70" t="s">
        <v>188</v>
      </c>
      <c r="D137" s="88" t="s">
        <v>189</v>
      </c>
      <c r="E137" s="30">
        <f>825393.4+248003.8+0.03</f>
        <v>1073397.23</v>
      </c>
      <c r="F137" s="30">
        <f>825393.46+247068.57-0.03</f>
        <v>1072462</v>
      </c>
      <c r="G137" s="75">
        <v>0</v>
      </c>
      <c r="H137" s="68">
        <f t="shared" si="4"/>
        <v>99.91</v>
      </c>
    </row>
    <row r="138" spans="1:8" ht="63" customHeight="1">
      <c r="A138" s="116"/>
      <c r="B138" s="23" t="s">
        <v>5</v>
      </c>
      <c r="C138" s="70" t="s">
        <v>188</v>
      </c>
      <c r="D138" s="88" t="s">
        <v>189</v>
      </c>
      <c r="E138" s="30">
        <f>4029862.2+1210842.2</f>
        <v>5240704.4</v>
      </c>
      <c r="F138" s="30">
        <f>4029862.2+1206276.07+0.03</f>
        <v>5236138.300000001</v>
      </c>
      <c r="G138" s="75">
        <v>0</v>
      </c>
      <c r="H138" s="68">
        <f t="shared" si="4"/>
        <v>99.91</v>
      </c>
    </row>
    <row r="139" spans="1:8" ht="21.75" customHeight="1">
      <c r="A139" s="114" t="s">
        <v>185</v>
      </c>
      <c r="B139" s="23" t="s">
        <v>3</v>
      </c>
      <c r="C139" s="27"/>
      <c r="D139" s="28"/>
      <c r="E139" s="53">
        <f>SUM(E140:E141)</f>
        <v>10204</v>
      </c>
      <c r="F139" s="53">
        <f>SUM(F140:F141)</f>
        <v>9986.5</v>
      </c>
      <c r="G139" s="78">
        <f>SUM(G140:G141)</f>
        <v>0</v>
      </c>
      <c r="H139" s="69">
        <f t="shared" si="4"/>
        <v>97.87</v>
      </c>
    </row>
    <row r="140" spans="1:8" ht="21.75" customHeight="1">
      <c r="A140" s="115"/>
      <c r="B140" s="23" t="s">
        <v>4</v>
      </c>
      <c r="C140" s="70" t="s">
        <v>186</v>
      </c>
      <c r="D140" s="28"/>
      <c r="E140" s="30">
        <v>10204</v>
      </c>
      <c r="F140" s="30">
        <f>9986.48+0.02</f>
        <v>9986.5</v>
      </c>
      <c r="G140" s="75">
        <v>0</v>
      </c>
      <c r="H140" s="68">
        <f t="shared" si="4"/>
        <v>97.87</v>
      </c>
    </row>
    <row r="141" spans="1:8" ht="21.75" customHeight="1">
      <c r="A141" s="116"/>
      <c r="B141" s="23" t="s">
        <v>5</v>
      </c>
      <c r="C141" s="27"/>
      <c r="D141" s="28"/>
      <c r="E141" s="30"/>
      <c r="F141" s="30"/>
      <c r="G141" s="75"/>
      <c r="H141" s="69"/>
    </row>
    <row r="142" spans="1:8" ht="53.25" customHeight="1">
      <c r="A142" s="114" t="s">
        <v>201</v>
      </c>
      <c r="B142" s="23" t="s">
        <v>3</v>
      </c>
      <c r="C142" s="27"/>
      <c r="D142" s="28"/>
      <c r="E142" s="53">
        <f>SUM(E143:E144)</f>
        <v>1</v>
      </c>
      <c r="F142" s="53">
        <f>SUM(F143:F144)</f>
        <v>0</v>
      </c>
      <c r="G142" s="78">
        <f>SUM(G143:G144)</f>
        <v>0</v>
      </c>
      <c r="H142" s="69">
        <f t="shared" si="4"/>
        <v>0</v>
      </c>
    </row>
    <row r="143" spans="1:8" ht="21.75" customHeight="1">
      <c r="A143" s="115"/>
      <c r="B143" s="23" t="s">
        <v>4</v>
      </c>
      <c r="C143" s="70" t="s">
        <v>38</v>
      </c>
      <c r="D143" s="28"/>
      <c r="E143" s="30">
        <v>1</v>
      </c>
      <c r="F143" s="30">
        <v>0</v>
      </c>
      <c r="G143" s="75">
        <v>0</v>
      </c>
      <c r="H143" s="68">
        <f t="shared" si="4"/>
        <v>0</v>
      </c>
    </row>
    <row r="144" spans="1:8" ht="21.75" customHeight="1">
      <c r="A144" s="116"/>
      <c r="B144" s="23" t="s">
        <v>5</v>
      </c>
      <c r="C144" s="27"/>
      <c r="D144" s="28"/>
      <c r="E144" s="30"/>
      <c r="F144" s="30"/>
      <c r="G144" s="75"/>
      <c r="H144" s="69"/>
    </row>
    <row r="145" spans="1:8" ht="37.5" customHeight="1">
      <c r="A145" s="114" t="s">
        <v>137</v>
      </c>
      <c r="B145" s="23" t="s">
        <v>3</v>
      </c>
      <c r="C145" s="27"/>
      <c r="D145" s="28"/>
      <c r="E145" s="53">
        <f>SUM(E146:E147)</f>
        <v>76800</v>
      </c>
      <c r="F145" s="53">
        <f>SUM(F146:F147)</f>
        <v>50250</v>
      </c>
      <c r="G145" s="78">
        <f>SUM(G146:G147)</f>
        <v>0</v>
      </c>
      <c r="H145" s="69">
        <f t="shared" si="4"/>
        <v>65.43</v>
      </c>
    </row>
    <row r="146" spans="1:8" ht="21.75" customHeight="1">
      <c r="A146" s="115"/>
      <c r="B146" s="23" t="s">
        <v>4</v>
      </c>
      <c r="C146" s="27"/>
      <c r="D146" s="28"/>
      <c r="E146" s="30"/>
      <c r="F146" s="30"/>
      <c r="G146" s="75"/>
      <c r="H146" s="69"/>
    </row>
    <row r="147" spans="1:8" ht="29.25" customHeight="1">
      <c r="A147" s="116"/>
      <c r="B147" s="23" t="s">
        <v>5</v>
      </c>
      <c r="C147" s="70" t="s">
        <v>165</v>
      </c>
      <c r="D147" s="88" t="s">
        <v>166</v>
      </c>
      <c r="E147" s="30">
        <v>76800</v>
      </c>
      <c r="F147" s="30">
        <v>50250</v>
      </c>
      <c r="G147" s="75">
        <v>0</v>
      </c>
      <c r="H147" s="68">
        <f t="shared" si="4"/>
        <v>65.43</v>
      </c>
    </row>
    <row r="148" spans="1:8" ht="23.25" customHeight="1">
      <c r="A148" s="101" t="s">
        <v>7</v>
      </c>
      <c r="B148" s="6" t="s">
        <v>3</v>
      </c>
      <c r="C148" s="27" t="s">
        <v>70</v>
      </c>
      <c r="D148" s="91"/>
      <c r="E148" s="14">
        <f>SUM(E149:E150)</f>
        <v>6718844.7</v>
      </c>
      <c r="F148" s="54">
        <f>SUM(F149:F150)</f>
        <v>6685268.600000001</v>
      </c>
      <c r="G148" s="82">
        <f>G149+G150</f>
        <v>0.1</v>
      </c>
      <c r="H148" s="69">
        <f t="shared" si="4"/>
        <v>99.5</v>
      </c>
    </row>
    <row r="149" spans="1:8" ht="25.5" customHeight="1">
      <c r="A149" s="102"/>
      <c r="B149" s="6" t="s">
        <v>4</v>
      </c>
      <c r="C149" s="92"/>
      <c r="D149" s="91"/>
      <c r="E149" s="14">
        <f aca="true" t="shared" si="5" ref="E149:G150">E155+E158+E167+E170+E152+E176+E164+E173+E161+E182</f>
        <v>6545429.2</v>
      </c>
      <c r="F149" s="54">
        <f t="shared" si="5"/>
        <v>6512319.4</v>
      </c>
      <c r="G149" s="78">
        <f t="shared" si="5"/>
        <v>0.1</v>
      </c>
      <c r="H149" s="69">
        <f t="shared" si="4"/>
        <v>99.49</v>
      </c>
    </row>
    <row r="150" spans="1:8" ht="24.75" customHeight="1">
      <c r="A150" s="102"/>
      <c r="B150" s="6" t="s">
        <v>5</v>
      </c>
      <c r="C150" s="92"/>
      <c r="D150" s="91"/>
      <c r="E150" s="14">
        <f t="shared" si="5"/>
        <v>173415.5</v>
      </c>
      <c r="F150" s="54">
        <f t="shared" si="5"/>
        <v>172949.19999999998</v>
      </c>
      <c r="G150" s="78">
        <f t="shared" si="5"/>
        <v>0</v>
      </c>
      <c r="H150" s="69">
        <f t="shared" si="4"/>
        <v>99.73</v>
      </c>
    </row>
    <row r="151" spans="1:8" ht="26.25" customHeight="1">
      <c r="A151" s="134" t="s">
        <v>16</v>
      </c>
      <c r="B151" s="8" t="s">
        <v>3</v>
      </c>
      <c r="C151" s="24"/>
      <c r="D151" s="23"/>
      <c r="E151" s="52">
        <f>SUM(E152:E153)</f>
        <v>172.8</v>
      </c>
      <c r="F151" s="53">
        <f>SUM(F152:F153)</f>
        <v>152.5</v>
      </c>
      <c r="G151" s="78">
        <f>SUM(G152:G153)</f>
        <v>0</v>
      </c>
      <c r="H151" s="69">
        <f t="shared" si="4"/>
        <v>88.25</v>
      </c>
    </row>
    <row r="152" spans="1:8" ht="18.75" customHeight="1">
      <c r="A152" s="108"/>
      <c r="B152" s="8" t="s">
        <v>4</v>
      </c>
      <c r="C152" s="70" t="s">
        <v>146</v>
      </c>
      <c r="D152" s="23"/>
      <c r="E152" s="11">
        <v>172.8</v>
      </c>
      <c r="F152" s="30">
        <f>152.47+0.03</f>
        <v>152.5</v>
      </c>
      <c r="G152" s="75">
        <v>0</v>
      </c>
      <c r="H152" s="68">
        <f t="shared" si="4"/>
        <v>88.25</v>
      </c>
    </row>
    <row r="153" spans="1:8" ht="28.5" customHeight="1">
      <c r="A153" s="109"/>
      <c r="B153" s="8" t="s">
        <v>5</v>
      </c>
      <c r="C153" s="24"/>
      <c r="D153" s="23"/>
      <c r="E153" s="12"/>
      <c r="F153" s="30"/>
      <c r="G153" s="77"/>
      <c r="H153" s="68"/>
    </row>
    <row r="154" spans="1:8" ht="27" customHeight="1">
      <c r="A154" s="134" t="s">
        <v>106</v>
      </c>
      <c r="B154" s="8" t="s">
        <v>3</v>
      </c>
      <c r="C154" s="24"/>
      <c r="D154" s="23"/>
      <c r="E154" s="13">
        <f>SUM(E155:E156)</f>
        <v>2051358.3</v>
      </c>
      <c r="F154" s="52">
        <f>SUM(F155:F156)</f>
        <v>2025085</v>
      </c>
      <c r="G154" s="79">
        <f>SUM(G155:G156)</f>
        <v>0</v>
      </c>
      <c r="H154" s="69">
        <f t="shared" si="4"/>
        <v>98.72</v>
      </c>
    </row>
    <row r="155" spans="1:8" ht="34.5" customHeight="1">
      <c r="A155" s="108"/>
      <c r="B155" s="8" t="s">
        <v>4</v>
      </c>
      <c r="C155" s="70" t="s">
        <v>148</v>
      </c>
      <c r="D155" s="27"/>
      <c r="E155" s="12">
        <f>2038778.32+12579.9-0.02+0.1</f>
        <v>2051358.3</v>
      </c>
      <c r="F155" s="11">
        <f>2025085.03-0.03</f>
        <v>2025085</v>
      </c>
      <c r="G155" s="75">
        <v>0</v>
      </c>
      <c r="H155" s="68">
        <f t="shared" si="4"/>
        <v>98.72</v>
      </c>
    </row>
    <row r="156" spans="1:8" ht="18.75" customHeight="1">
      <c r="A156" s="109"/>
      <c r="B156" s="8" t="s">
        <v>5</v>
      </c>
      <c r="C156" s="24"/>
      <c r="D156" s="23"/>
      <c r="E156" s="12"/>
      <c r="F156" s="11"/>
      <c r="G156" s="75"/>
      <c r="H156" s="68"/>
    </row>
    <row r="157" spans="1:8" ht="33.75" customHeight="1">
      <c r="A157" s="134" t="s">
        <v>107</v>
      </c>
      <c r="B157" s="8" t="s">
        <v>3</v>
      </c>
      <c r="C157" s="24"/>
      <c r="D157" s="23"/>
      <c r="E157" s="53">
        <f>SUM(E158:E159)</f>
        <v>1463702.8</v>
      </c>
      <c r="F157" s="53">
        <f>SUM(F158:F159)</f>
        <v>1459048.1</v>
      </c>
      <c r="G157" s="78">
        <f>SUM(G158:G159)</f>
        <v>0</v>
      </c>
      <c r="H157" s="69">
        <f t="shared" si="4"/>
        <v>99.68</v>
      </c>
    </row>
    <row r="158" spans="1:8" ht="30" customHeight="1">
      <c r="A158" s="108"/>
      <c r="B158" s="8" t="s">
        <v>4</v>
      </c>
      <c r="C158" s="70" t="s">
        <v>149</v>
      </c>
      <c r="D158" s="70" t="s">
        <v>157</v>
      </c>
      <c r="E158" s="56">
        <v>1463702.8</v>
      </c>
      <c r="F158" s="56">
        <f>1459048.11-0.01</f>
        <v>1459048.1</v>
      </c>
      <c r="G158" s="75">
        <v>0</v>
      </c>
      <c r="H158" s="68">
        <f t="shared" si="4"/>
        <v>99.68</v>
      </c>
    </row>
    <row r="159" spans="1:8" ht="20.25" customHeight="1">
      <c r="A159" s="109"/>
      <c r="B159" s="8" t="s">
        <v>5</v>
      </c>
      <c r="C159" s="24"/>
      <c r="D159" s="23"/>
      <c r="E159" s="30"/>
      <c r="F159" s="30"/>
      <c r="G159" s="77"/>
      <c r="H159" s="68"/>
    </row>
    <row r="160" spans="1:8" ht="30.75" customHeight="1">
      <c r="A160" s="134" t="s">
        <v>131</v>
      </c>
      <c r="B160" s="8" t="s">
        <v>3</v>
      </c>
      <c r="C160" s="24"/>
      <c r="D160" s="23"/>
      <c r="E160" s="53">
        <f>SUM(E161:E162)</f>
        <v>3013442.6</v>
      </c>
      <c r="F160" s="53">
        <f>SUM(F161:F162)</f>
        <v>3011515.6</v>
      </c>
      <c r="G160" s="78">
        <f>SUM(G161:G162)</f>
        <v>0.1</v>
      </c>
      <c r="H160" s="69">
        <f t="shared" si="4"/>
        <v>99.94</v>
      </c>
    </row>
    <row r="161" spans="1:8" ht="33.75" customHeight="1">
      <c r="A161" s="108"/>
      <c r="B161" s="8" t="s">
        <v>4</v>
      </c>
      <c r="C161" s="70" t="s">
        <v>150</v>
      </c>
      <c r="D161" s="70" t="s">
        <v>158</v>
      </c>
      <c r="E161" s="56">
        <v>3013442.6</v>
      </c>
      <c r="F161" s="56">
        <f>3011515.63-0.03</f>
        <v>3011515.6</v>
      </c>
      <c r="G161" s="83">
        <v>0.1</v>
      </c>
      <c r="H161" s="68">
        <f t="shared" si="4"/>
        <v>99.94</v>
      </c>
    </row>
    <row r="162" spans="1:8" ht="33.75" customHeight="1">
      <c r="A162" s="109"/>
      <c r="B162" s="8" t="s">
        <v>5</v>
      </c>
      <c r="C162" s="24"/>
      <c r="D162" s="23"/>
      <c r="E162" s="12"/>
      <c r="F162" s="11"/>
      <c r="G162" s="77"/>
      <c r="H162" s="68"/>
    </row>
    <row r="163" spans="1:8" ht="39" customHeight="1">
      <c r="A163" s="130" t="s">
        <v>153</v>
      </c>
      <c r="B163" s="8" t="s">
        <v>3</v>
      </c>
      <c r="C163" s="24"/>
      <c r="D163" s="23"/>
      <c r="E163" s="52">
        <f>SUM(E164:E165)</f>
        <v>114.2</v>
      </c>
      <c r="F163" s="52">
        <f>SUM(F164:F165)</f>
        <v>114.1</v>
      </c>
      <c r="G163" s="79">
        <f>SUM(G164:G165)</f>
        <v>0</v>
      </c>
      <c r="H163" s="69">
        <f t="shared" si="4"/>
        <v>99.91</v>
      </c>
    </row>
    <row r="164" spans="1:8" ht="30" customHeight="1">
      <c r="A164" s="108"/>
      <c r="B164" s="8" t="s">
        <v>4</v>
      </c>
      <c r="C164" s="70" t="s">
        <v>49</v>
      </c>
      <c r="D164" s="71"/>
      <c r="E164" s="30">
        <v>114.2</v>
      </c>
      <c r="F164" s="11">
        <f>114.07+0.03</f>
        <v>114.1</v>
      </c>
      <c r="G164" s="75">
        <v>0</v>
      </c>
      <c r="H164" s="68">
        <f t="shared" si="4"/>
        <v>99.91</v>
      </c>
    </row>
    <row r="165" spans="1:8" ht="29.25" customHeight="1">
      <c r="A165" s="109"/>
      <c r="B165" s="8" t="s">
        <v>5</v>
      </c>
      <c r="C165" s="27"/>
      <c r="D165" s="71"/>
      <c r="E165" s="30"/>
      <c r="F165" s="11"/>
      <c r="G165" s="77"/>
      <c r="H165" s="68"/>
    </row>
    <row r="166" spans="1:8" ht="30" customHeight="1">
      <c r="A166" s="134" t="s">
        <v>125</v>
      </c>
      <c r="B166" s="8" t="s">
        <v>3</v>
      </c>
      <c r="C166" s="24"/>
      <c r="D166" s="23"/>
      <c r="E166" s="52">
        <f>SUM(E167:E168)</f>
        <v>295.5</v>
      </c>
      <c r="F166" s="52">
        <f>SUM(F167:F168)</f>
        <v>294.09999999999997</v>
      </c>
      <c r="G166" s="79">
        <f>SUM(G167:G168)</f>
        <v>0</v>
      </c>
      <c r="H166" s="69">
        <f t="shared" si="4"/>
        <v>99.53</v>
      </c>
    </row>
    <row r="167" spans="1:8" ht="26.25" customHeight="1">
      <c r="A167" s="108"/>
      <c r="B167" s="8" t="s">
        <v>4</v>
      </c>
      <c r="C167" s="27" t="s">
        <v>50</v>
      </c>
      <c r="D167" s="27" t="s">
        <v>51</v>
      </c>
      <c r="E167" s="11">
        <v>295.5</v>
      </c>
      <c r="F167" s="11">
        <f>294.09+0.01</f>
        <v>294.09999999999997</v>
      </c>
      <c r="G167" s="75">
        <v>0</v>
      </c>
      <c r="H167" s="68">
        <f t="shared" si="4"/>
        <v>99.53</v>
      </c>
    </row>
    <row r="168" spans="1:8" ht="33" customHeight="1">
      <c r="A168" s="109"/>
      <c r="B168" s="8" t="s">
        <v>5</v>
      </c>
      <c r="C168" s="24"/>
      <c r="D168" s="23"/>
      <c r="E168" s="12"/>
      <c r="F168" s="11"/>
      <c r="G168" s="75"/>
      <c r="H168" s="68"/>
    </row>
    <row r="169" spans="1:8" ht="39.75" customHeight="1">
      <c r="A169" s="134" t="s">
        <v>17</v>
      </c>
      <c r="B169" s="8" t="s">
        <v>3</v>
      </c>
      <c r="C169" s="24"/>
      <c r="D169" s="23"/>
      <c r="E169" s="52">
        <f>SUM(E170:E171)</f>
        <v>6301.5</v>
      </c>
      <c r="F169" s="52">
        <f>SUM(F170:F171)</f>
        <v>6301.5</v>
      </c>
      <c r="G169" s="79">
        <f>SUM(G170:G171)</f>
        <v>0</v>
      </c>
      <c r="H169" s="69">
        <f t="shared" si="4"/>
        <v>100</v>
      </c>
    </row>
    <row r="170" spans="1:8" ht="18.75" customHeight="1">
      <c r="A170" s="108"/>
      <c r="B170" s="8" t="s">
        <v>4</v>
      </c>
      <c r="C170" s="70" t="s">
        <v>52</v>
      </c>
      <c r="D170" s="27"/>
      <c r="E170" s="11">
        <v>6301.5</v>
      </c>
      <c r="F170" s="11">
        <v>6301.5</v>
      </c>
      <c r="G170" s="75">
        <v>0</v>
      </c>
      <c r="H170" s="68">
        <f t="shared" si="4"/>
        <v>100</v>
      </c>
    </row>
    <row r="171" spans="1:8" ht="30.75" customHeight="1">
      <c r="A171" s="109"/>
      <c r="B171" s="8" t="s">
        <v>5</v>
      </c>
      <c r="C171" s="24"/>
      <c r="D171" s="23"/>
      <c r="E171" s="11"/>
      <c r="F171" s="11"/>
      <c r="G171" s="75"/>
      <c r="H171" s="68"/>
    </row>
    <row r="172" spans="1:8" ht="28.5" customHeight="1">
      <c r="A172" s="137" t="s">
        <v>18</v>
      </c>
      <c r="B172" s="19" t="s">
        <v>3</v>
      </c>
      <c r="C172" s="26"/>
      <c r="D172" s="26"/>
      <c r="E172" s="57">
        <f>E174+E173</f>
        <v>5562</v>
      </c>
      <c r="F172" s="57">
        <f>F174+F173</f>
        <v>5329</v>
      </c>
      <c r="G172" s="84">
        <f>G174+G173</f>
        <v>0</v>
      </c>
      <c r="H172" s="69">
        <f t="shared" si="4"/>
        <v>95.81</v>
      </c>
    </row>
    <row r="173" spans="1:8" ht="32.25" customHeight="1">
      <c r="A173" s="138"/>
      <c r="B173" s="8" t="s">
        <v>4</v>
      </c>
      <c r="C173" s="70" t="s">
        <v>197</v>
      </c>
      <c r="D173" s="27"/>
      <c r="E173" s="58">
        <v>5562</v>
      </c>
      <c r="F173" s="58">
        <f>5329.01-0.01</f>
        <v>5329</v>
      </c>
      <c r="G173" s="75">
        <v>0</v>
      </c>
      <c r="H173" s="68">
        <f t="shared" si="4"/>
        <v>95.81</v>
      </c>
    </row>
    <row r="174" spans="1:8" ht="36.75" customHeight="1">
      <c r="A174" s="139"/>
      <c r="B174" s="19" t="s">
        <v>5</v>
      </c>
      <c r="C174" s="27"/>
      <c r="D174" s="27"/>
      <c r="E174" s="22"/>
      <c r="F174" s="63"/>
      <c r="G174" s="75"/>
      <c r="H174" s="68"/>
    </row>
    <row r="175" spans="1:8" ht="27" customHeight="1">
      <c r="A175" s="140" t="s">
        <v>108</v>
      </c>
      <c r="B175" s="37" t="s">
        <v>3</v>
      </c>
      <c r="C175" s="39" t="s">
        <v>151</v>
      </c>
      <c r="D175" s="38"/>
      <c r="E175" s="14">
        <f>SUM(E176:E177)</f>
        <v>149317.9</v>
      </c>
      <c r="F175" s="14">
        <f>SUM(F176:F177)</f>
        <v>149317.8</v>
      </c>
      <c r="G175" s="85">
        <f>SUM(G176:G177)</f>
        <v>0</v>
      </c>
      <c r="H175" s="69">
        <f t="shared" si="4"/>
        <v>100</v>
      </c>
    </row>
    <row r="176" spans="1:8" ht="18.75" customHeight="1">
      <c r="A176" s="108"/>
      <c r="B176" s="37" t="s">
        <v>4</v>
      </c>
      <c r="C176" s="39"/>
      <c r="D176" s="38"/>
      <c r="E176" s="59">
        <f>E179</f>
        <v>4479.500000000008</v>
      </c>
      <c r="F176" s="59">
        <f>F179</f>
        <v>4479.5</v>
      </c>
      <c r="G176" s="75">
        <v>0</v>
      </c>
      <c r="H176" s="68">
        <f t="shared" si="4"/>
        <v>100</v>
      </c>
    </row>
    <row r="177" spans="1:8" ht="25.5" customHeight="1">
      <c r="A177" s="109"/>
      <c r="B177" s="37" t="s">
        <v>5</v>
      </c>
      <c r="C177" s="39"/>
      <c r="D177" s="38"/>
      <c r="E177" s="59">
        <f>E180</f>
        <v>144838.4</v>
      </c>
      <c r="F177" s="59">
        <f>F180</f>
        <v>144838.3</v>
      </c>
      <c r="G177" s="75">
        <v>0</v>
      </c>
      <c r="H177" s="68">
        <f t="shared" si="4"/>
        <v>100</v>
      </c>
    </row>
    <row r="178" spans="1:8" ht="27" customHeight="1">
      <c r="A178" s="134" t="s">
        <v>124</v>
      </c>
      <c r="B178" s="8" t="s">
        <v>3</v>
      </c>
      <c r="C178" s="24"/>
      <c r="D178" s="23"/>
      <c r="E178" s="52">
        <f>SUM(E179:E180)</f>
        <v>149317.9</v>
      </c>
      <c r="F178" s="52">
        <f>SUM(F179:F180)</f>
        <v>149317.8</v>
      </c>
      <c r="G178" s="79">
        <f>SUM(G179:G180)</f>
        <v>0</v>
      </c>
      <c r="H178" s="68">
        <f t="shared" si="4"/>
        <v>100</v>
      </c>
    </row>
    <row r="179" spans="1:8" ht="24.75" customHeight="1">
      <c r="A179" s="108"/>
      <c r="B179" s="8" t="s">
        <v>4</v>
      </c>
      <c r="C179" s="70" t="s">
        <v>152</v>
      </c>
      <c r="D179" s="87" t="s">
        <v>198</v>
      </c>
      <c r="E179" s="30">
        <f>149317.94-E180-0.04</f>
        <v>4479.500000000008</v>
      </c>
      <c r="F179" s="30">
        <v>4479.5</v>
      </c>
      <c r="G179" s="75">
        <v>0</v>
      </c>
      <c r="H179" s="68">
        <f t="shared" si="4"/>
        <v>100</v>
      </c>
    </row>
    <row r="180" spans="1:8" ht="28.5" customHeight="1">
      <c r="A180" s="109"/>
      <c r="B180" s="8" t="s">
        <v>5</v>
      </c>
      <c r="C180" s="70" t="s">
        <v>152</v>
      </c>
      <c r="D180" s="87" t="s">
        <v>198</v>
      </c>
      <c r="E180" s="30">
        <v>144838.4</v>
      </c>
      <c r="F180" s="30">
        <f>144838.4-0.1</f>
        <v>144838.3</v>
      </c>
      <c r="G180" s="75">
        <v>0</v>
      </c>
      <c r="H180" s="68">
        <f t="shared" si="4"/>
        <v>100</v>
      </c>
    </row>
    <row r="181" spans="1:8" ht="76.5" customHeight="1">
      <c r="A181" s="107" t="s">
        <v>136</v>
      </c>
      <c r="B181" s="8" t="s">
        <v>3</v>
      </c>
      <c r="C181" s="24"/>
      <c r="D181" s="23"/>
      <c r="E181" s="52">
        <f>SUM(E182:E183)</f>
        <v>28577.1</v>
      </c>
      <c r="F181" s="52">
        <f>SUM(F182:F183)</f>
        <v>28110.899999999998</v>
      </c>
      <c r="G181" s="79">
        <f>SUM(G182:G183)</f>
        <v>0</v>
      </c>
      <c r="H181" s="69">
        <f t="shared" si="4"/>
        <v>98.37</v>
      </c>
    </row>
    <row r="182" spans="1:8" ht="23.25" customHeight="1">
      <c r="A182" s="108"/>
      <c r="B182" s="8" t="s">
        <v>4</v>
      </c>
      <c r="C182" s="27"/>
      <c r="D182" s="23"/>
      <c r="E182" s="30"/>
      <c r="F182" s="30"/>
      <c r="G182" s="77"/>
      <c r="H182" s="68"/>
    </row>
    <row r="183" spans="1:8" ht="38.25" customHeight="1">
      <c r="A183" s="109"/>
      <c r="B183" s="8" t="s">
        <v>5</v>
      </c>
      <c r="C183" s="70" t="s">
        <v>147</v>
      </c>
      <c r="D183" s="87" t="s">
        <v>156</v>
      </c>
      <c r="E183" s="30">
        <v>28577.1</v>
      </c>
      <c r="F183" s="30">
        <f>28110.89+0.01</f>
        <v>28110.899999999998</v>
      </c>
      <c r="G183" s="75">
        <v>0</v>
      </c>
      <c r="H183" s="68">
        <f t="shared" si="4"/>
        <v>98.37</v>
      </c>
    </row>
    <row r="184" spans="1:8" ht="35.25" customHeight="1">
      <c r="A184" s="101" t="s">
        <v>8</v>
      </c>
      <c r="B184" s="6" t="s">
        <v>3</v>
      </c>
      <c r="C184" s="70" t="s">
        <v>71</v>
      </c>
      <c r="D184" s="91"/>
      <c r="E184" s="14">
        <f>SUM(E185:E186)</f>
        <v>41436.2</v>
      </c>
      <c r="F184" s="14">
        <f>SUM(F185:F186)</f>
        <v>41404.3</v>
      </c>
      <c r="G184" s="79">
        <f>SUM(G185:G186)</f>
        <v>0</v>
      </c>
      <c r="H184" s="69">
        <f t="shared" si="4"/>
        <v>99.92</v>
      </c>
    </row>
    <row r="185" spans="1:8" ht="27" customHeight="1">
      <c r="A185" s="102"/>
      <c r="B185" s="6" t="s">
        <v>4</v>
      </c>
      <c r="C185" s="92"/>
      <c r="D185" s="91"/>
      <c r="E185" s="14">
        <f aca="true" t="shared" si="6" ref="E185:G186">E188+E191+E194+E197+E200+E203</f>
        <v>41436.2</v>
      </c>
      <c r="F185" s="14">
        <f t="shared" si="6"/>
        <v>41404.3</v>
      </c>
      <c r="G185" s="79">
        <f t="shared" si="6"/>
        <v>0</v>
      </c>
      <c r="H185" s="69">
        <f t="shared" si="4"/>
        <v>99.92</v>
      </c>
    </row>
    <row r="186" spans="1:8" ht="28.5" customHeight="1">
      <c r="A186" s="102"/>
      <c r="B186" s="6" t="s">
        <v>5</v>
      </c>
      <c r="C186" s="92"/>
      <c r="D186" s="91"/>
      <c r="E186" s="14">
        <f t="shared" si="6"/>
        <v>0</v>
      </c>
      <c r="F186" s="14">
        <f t="shared" si="6"/>
        <v>0</v>
      </c>
      <c r="G186" s="79">
        <f t="shared" si="6"/>
        <v>0</v>
      </c>
      <c r="H186" s="68"/>
    </row>
    <row r="187" spans="1:8" ht="24.75" customHeight="1">
      <c r="A187" s="134" t="s">
        <v>109</v>
      </c>
      <c r="B187" s="8" t="s">
        <v>3</v>
      </c>
      <c r="C187" s="27"/>
      <c r="D187" s="71"/>
      <c r="E187" s="52">
        <f>SUM(E188:E189)</f>
        <v>37704.6</v>
      </c>
      <c r="F187" s="52">
        <f>SUM(F188:F189)</f>
        <v>37673.1</v>
      </c>
      <c r="G187" s="79">
        <f>SUM(G188:G189)</f>
        <v>0</v>
      </c>
      <c r="H187" s="69">
        <f t="shared" si="4"/>
        <v>99.92</v>
      </c>
    </row>
    <row r="188" spans="1:8" ht="18.75" customHeight="1">
      <c r="A188" s="108"/>
      <c r="B188" s="8" t="s">
        <v>4</v>
      </c>
      <c r="C188" s="27" t="s">
        <v>53</v>
      </c>
      <c r="D188" s="71"/>
      <c r="E188" s="11">
        <v>37704.6</v>
      </c>
      <c r="F188" s="11">
        <f>37673.13-0.03</f>
        <v>37673.1</v>
      </c>
      <c r="G188" s="75">
        <v>0</v>
      </c>
      <c r="H188" s="68">
        <f t="shared" si="4"/>
        <v>99.92</v>
      </c>
    </row>
    <row r="189" spans="1:8" ht="27" customHeight="1">
      <c r="A189" s="109"/>
      <c r="B189" s="8" t="s">
        <v>5</v>
      </c>
      <c r="C189" s="27"/>
      <c r="D189" s="71"/>
      <c r="E189" s="11"/>
      <c r="F189" s="11"/>
      <c r="G189" s="77"/>
      <c r="H189" s="68"/>
    </row>
    <row r="190" spans="1:8" ht="23.25" customHeight="1">
      <c r="A190" s="134" t="s">
        <v>110</v>
      </c>
      <c r="B190" s="8" t="s">
        <v>3</v>
      </c>
      <c r="C190" s="27"/>
      <c r="D190" s="71"/>
      <c r="E190" s="52">
        <f>SUM(E191:E192)</f>
        <v>814.3</v>
      </c>
      <c r="F190" s="52">
        <f>SUM(F191:F192)</f>
        <v>814.3</v>
      </c>
      <c r="G190" s="77"/>
      <c r="H190" s="69">
        <f t="shared" si="4"/>
        <v>100</v>
      </c>
    </row>
    <row r="191" spans="1:8" ht="18.75" customHeight="1">
      <c r="A191" s="108"/>
      <c r="B191" s="8" t="s">
        <v>4</v>
      </c>
      <c r="C191" s="27" t="s">
        <v>54</v>
      </c>
      <c r="D191" s="71"/>
      <c r="E191" s="11">
        <v>814.3</v>
      </c>
      <c r="F191" s="11">
        <f>814.28+0.02</f>
        <v>814.3</v>
      </c>
      <c r="G191" s="75">
        <v>0</v>
      </c>
      <c r="H191" s="68">
        <f t="shared" si="4"/>
        <v>100</v>
      </c>
    </row>
    <row r="192" spans="1:8" ht="20.25" customHeight="1">
      <c r="A192" s="109"/>
      <c r="B192" s="8" t="s">
        <v>5</v>
      </c>
      <c r="C192" s="27"/>
      <c r="D192" s="71"/>
      <c r="E192" s="11"/>
      <c r="F192" s="11"/>
      <c r="G192" s="77"/>
      <c r="H192" s="68"/>
    </row>
    <row r="193" spans="1:8" ht="21.75" customHeight="1">
      <c r="A193" s="134" t="s">
        <v>111</v>
      </c>
      <c r="B193" s="8" t="s">
        <v>3</v>
      </c>
      <c r="C193" s="27"/>
      <c r="D193" s="71"/>
      <c r="E193" s="52">
        <f>SUM(E194:E195)</f>
        <v>755.5</v>
      </c>
      <c r="F193" s="52">
        <f>SUM(F194:F195)</f>
        <v>755.3</v>
      </c>
      <c r="G193" s="77"/>
      <c r="H193" s="69">
        <f t="shared" si="4"/>
        <v>99.97</v>
      </c>
    </row>
    <row r="194" spans="1:8" ht="18.75" customHeight="1">
      <c r="A194" s="108"/>
      <c r="B194" s="8" t="s">
        <v>4</v>
      </c>
      <c r="C194" s="27" t="s">
        <v>55</v>
      </c>
      <c r="D194" s="71"/>
      <c r="E194" s="11">
        <v>755.5</v>
      </c>
      <c r="F194" s="11">
        <f>755.29+0.01</f>
        <v>755.3</v>
      </c>
      <c r="G194" s="75">
        <v>0</v>
      </c>
      <c r="H194" s="68">
        <f t="shared" si="4"/>
        <v>99.97</v>
      </c>
    </row>
    <row r="195" spans="1:8" ht="19.5" customHeight="1">
      <c r="A195" s="109"/>
      <c r="B195" s="8" t="s">
        <v>5</v>
      </c>
      <c r="C195" s="27"/>
      <c r="D195" s="71"/>
      <c r="E195" s="11"/>
      <c r="F195" s="11"/>
      <c r="G195" s="77"/>
      <c r="H195" s="68"/>
    </row>
    <row r="196" spans="1:8" ht="38.25" customHeight="1">
      <c r="A196" s="134" t="s">
        <v>112</v>
      </c>
      <c r="B196" s="8" t="s">
        <v>3</v>
      </c>
      <c r="C196" s="27"/>
      <c r="D196" s="71"/>
      <c r="E196" s="52">
        <f>SUM(E197:E198)</f>
        <v>112.7</v>
      </c>
      <c r="F196" s="52">
        <f>SUM(F197:F198)</f>
        <v>112.7</v>
      </c>
      <c r="G196" s="77"/>
      <c r="H196" s="69">
        <f t="shared" si="4"/>
        <v>100</v>
      </c>
    </row>
    <row r="197" spans="1:8" ht="22.5" customHeight="1">
      <c r="A197" s="144"/>
      <c r="B197" s="8" t="s">
        <v>4</v>
      </c>
      <c r="C197" s="27" t="s">
        <v>56</v>
      </c>
      <c r="D197" s="71"/>
      <c r="E197" s="11">
        <v>112.7</v>
      </c>
      <c r="F197" s="11">
        <f>112.66+0.04</f>
        <v>112.7</v>
      </c>
      <c r="G197" s="75">
        <v>0</v>
      </c>
      <c r="H197" s="68">
        <f t="shared" si="4"/>
        <v>100</v>
      </c>
    </row>
    <row r="198" spans="1:8" ht="20.25" customHeight="1">
      <c r="A198" s="145"/>
      <c r="B198" s="8" t="s">
        <v>5</v>
      </c>
      <c r="C198" s="27"/>
      <c r="D198" s="71"/>
      <c r="E198" s="11"/>
      <c r="F198" s="11"/>
      <c r="G198" s="77"/>
      <c r="H198" s="68"/>
    </row>
    <row r="199" spans="1:8" ht="27" customHeight="1">
      <c r="A199" s="134" t="s">
        <v>113</v>
      </c>
      <c r="B199" s="8" t="s">
        <v>3</v>
      </c>
      <c r="C199" s="27"/>
      <c r="D199" s="71"/>
      <c r="E199" s="52">
        <f>SUM(E200:E201)</f>
        <v>2049.1</v>
      </c>
      <c r="F199" s="52">
        <f>SUM(F200:F201)</f>
        <v>2048.8999999999996</v>
      </c>
      <c r="G199" s="77"/>
      <c r="H199" s="69">
        <f t="shared" si="4"/>
        <v>99.99</v>
      </c>
    </row>
    <row r="200" spans="1:8" ht="18.75" customHeight="1">
      <c r="A200" s="144"/>
      <c r="B200" s="8" t="s">
        <v>4</v>
      </c>
      <c r="C200" s="27" t="s">
        <v>57</v>
      </c>
      <c r="D200" s="71"/>
      <c r="E200" s="11">
        <v>2049.1</v>
      </c>
      <c r="F200" s="11">
        <f>2048.91-0.01</f>
        <v>2048.8999999999996</v>
      </c>
      <c r="G200" s="75">
        <v>0</v>
      </c>
      <c r="H200" s="68">
        <f aca="true" t="shared" si="7" ref="H200:H233">ROUND((F200-G200)/E200*100,2)</f>
        <v>99.99</v>
      </c>
    </row>
    <row r="201" spans="1:8" ht="19.5" customHeight="1">
      <c r="A201" s="145"/>
      <c r="B201" s="8" t="s">
        <v>5</v>
      </c>
      <c r="C201" s="27"/>
      <c r="D201" s="71"/>
      <c r="E201" s="11"/>
      <c r="F201" s="11"/>
      <c r="G201" s="77"/>
      <c r="H201" s="68"/>
    </row>
    <row r="202" spans="1:8" ht="37.5" customHeight="1" hidden="1" outlineLevel="1">
      <c r="A202" s="134" t="s">
        <v>126</v>
      </c>
      <c r="B202" s="8" t="s">
        <v>3</v>
      </c>
      <c r="C202" s="27"/>
      <c r="D202" s="71"/>
      <c r="E202" s="52">
        <f>SUM(E203:E204)</f>
        <v>0</v>
      </c>
      <c r="F202" s="52">
        <f>SUM(F203:F204)</f>
        <v>0</v>
      </c>
      <c r="G202" s="77"/>
      <c r="H202" s="68" t="e">
        <f t="shared" si="7"/>
        <v>#DIV/0!</v>
      </c>
    </row>
    <row r="203" spans="1:8" ht="18.75" customHeight="1" hidden="1" outlineLevel="1">
      <c r="A203" s="144"/>
      <c r="B203" s="8" t="s">
        <v>4</v>
      </c>
      <c r="C203" s="27" t="s">
        <v>58</v>
      </c>
      <c r="D203" s="71"/>
      <c r="E203" s="11">
        <v>0</v>
      </c>
      <c r="F203" s="11">
        <v>0</v>
      </c>
      <c r="G203" s="77"/>
      <c r="H203" s="68" t="e">
        <f t="shared" si="7"/>
        <v>#DIV/0!</v>
      </c>
    </row>
    <row r="204" spans="1:8" ht="24" customHeight="1" hidden="1" outlineLevel="1">
      <c r="A204" s="145"/>
      <c r="B204" s="8" t="s">
        <v>5</v>
      </c>
      <c r="C204" s="27"/>
      <c r="D204" s="71"/>
      <c r="E204" s="12"/>
      <c r="F204" s="12"/>
      <c r="G204" s="77"/>
      <c r="H204" s="68" t="e">
        <f t="shared" si="7"/>
        <v>#DIV/0!</v>
      </c>
    </row>
    <row r="205" spans="1:8" ht="26.25" customHeight="1" collapsed="1">
      <c r="A205" s="149" t="s">
        <v>114</v>
      </c>
      <c r="B205" s="6" t="s">
        <v>3</v>
      </c>
      <c r="C205" s="27" t="s">
        <v>72</v>
      </c>
      <c r="D205" s="93"/>
      <c r="E205" s="14">
        <f>SUM(E206:E207)</f>
        <v>1109402.2</v>
      </c>
      <c r="F205" s="14">
        <f>SUM(F206:F207)</f>
        <v>1102370.7</v>
      </c>
      <c r="G205" s="85">
        <f>SUM(G206:G207)</f>
        <v>7.5</v>
      </c>
      <c r="H205" s="69">
        <f t="shared" si="7"/>
        <v>99.37</v>
      </c>
    </row>
    <row r="206" spans="1:8" ht="22.5" customHeight="1">
      <c r="A206" s="150"/>
      <c r="B206" s="6" t="s">
        <v>4</v>
      </c>
      <c r="C206" s="94"/>
      <c r="D206" s="93"/>
      <c r="E206" s="14">
        <f aca="true" t="shared" si="8" ref="E206:G207">E209+E212+E215</f>
        <v>1109402.2</v>
      </c>
      <c r="F206" s="14">
        <f t="shared" si="8"/>
        <v>1102370.7</v>
      </c>
      <c r="G206" s="85">
        <f t="shared" si="8"/>
        <v>7.5</v>
      </c>
      <c r="H206" s="69">
        <f t="shared" si="7"/>
        <v>99.37</v>
      </c>
    </row>
    <row r="207" spans="1:8" ht="23.25" customHeight="1">
      <c r="A207" s="151"/>
      <c r="B207" s="6" t="s">
        <v>5</v>
      </c>
      <c r="C207" s="94"/>
      <c r="D207" s="93"/>
      <c r="E207" s="15">
        <f t="shared" si="8"/>
        <v>0</v>
      </c>
      <c r="F207" s="14">
        <f t="shared" si="8"/>
        <v>0</v>
      </c>
      <c r="G207" s="85">
        <f t="shared" si="8"/>
        <v>0</v>
      </c>
      <c r="H207" s="68"/>
    </row>
    <row r="208" spans="1:8" ht="26.25" customHeight="1">
      <c r="A208" s="134" t="s">
        <v>115</v>
      </c>
      <c r="B208" s="8" t="s">
        <v>3</v>
      </c>
      <c r="C208" s="27"/>
      <c r="D208" s="71"/>
      <c r="E208" s="52">
        <f>SUM(E209:E210)</f>
        <v>110178.2</v>
      </c>
      <c r="F208" s="52">
        <f>SUM(F209:F210)</f>
        <v>109382.3</v>
      </c>
      <c r="G208" s="75">
        <v>0</v>
      </c>
      <c r="H208" s="69">
        <f t="shared" si="7"/>
        <v>99.28</v>
      </c>
    </row>
    <row r="209" spans="1:8" ht="18.75" customHeight="1">
      <c r="A209" s="108"/>
      <c r="B209" s="8" t="s">
        <v>4</v>
      </c>
      <c r="C209" s="27" t="s">
        <v>59</v>
      </c>
      <c r="D209" s="71"/>
      <c r="E209" s="11">
        <f>110178.25-0.05</f>
        <v>110178.2</v>
      </c>
      <c r="F209" s="11">
        <v>109382.3</v>
      </c>
      <c r="G209" s="75">
        <v>0</v>
      </c>
      <c r="H209" s="68">
        <f t="shared" si="7"/>
        <v>99.28</v>
      </c>
    </row>
    <row r="210" spans="1:8" ht="30" customHeight="1">
      <c r="A210" s="109"/>
      <c r="B210" s="8" t="s">
        <v>5</v>
      </c>
      <c r="C210" s="27"/>
      <c r="D210" s="71"/>
      <c r="E210" s="11"/>
      <c r="F210" s="11"/>
      <c r="G210" s="77"/>
      <c r="H210" s="68"/>
    </row>
    <row r="211" spans="1:8" ht="23.25" customHeight="1">
      <c r="A211" s="134" t="s">
        <v>116</v>
      </c>
      <c r="B211" s="8" t="s">
        <v>3</v>
      </c>
      <c r="C211" s="27"/>
      <c r="D211" s="71"/>
      <c r="E211" s="52">
        <f>SUM(E212:E213)</f>
        <v>967073.2</v>
      </c>
      <c r="F211" s="52">
        <f>SUM(F212:F213)</f>
        <v>962492.2000000001</v>
      </c>
      <c r="G211" s="79">
        <f>SUM(G212:G213)</f>
        <v>7.5</v>
      </c>
      <c r="H211" s="69">
        <f t="shared" si="7"/>
        <v>99.53</v>
      </c>
    </row>
    <row r="212" spans="1:8" ht="18.75" customHeight="1">
      <c r="A212" s="144"/>
      <c r="B212" s="8" t="s">
        <v>4</v>
      </c>
      <c r="C212" s="27" t="s">
        <v>60</v>
      </c>
      <c r="D212" s="27" t="s">
        <v>63</v>
      </c>
      <c r="E212" s="11">
        <v>967073.2</v>
      </c>
      <c r="F212" s="11">
        <f>962492.26+0.04-0.1</f>
        <v>962492.2000000001</v>
      </c>
      <c r="G212" s="83">
        <v>7.5</v>
      </c>
      <c r="H212" s="68">
        <f t="shared" si="7"/>
        <v>99.53</v>
      </c>
    </row>
    <row r="213" spans="1:8" ht="27" customHeight="1">
      <c r="A213" s="145"/>
      <c r="B213" s="8" t="s">
        <v>5</v>
      </c>
      <c r="C213" s="27"/>
      <c r="D213" s="71"/>
      <c r="E213" s="12"/>
      <c r="F213" s="11"/>
      <c r="G213" s="77"/>
      <c r="H213" s="68"/>
    </row>
    <row r="214" spans="1:8" ht="23.25" customHeight="1">
      <c r="A214" s="134" t="s">
        <v>117</v>
      </c>
      <c r="B214" s="8" t="s">
        <v>3</v>
      </c>
      <c r="C214" s="27"/>
      <c r="D214" s="71"/>
      <c r="E214" s="52">
        <f>SUM(E215:E216)</f>
        <v>32150.8</v>
      </c>
      <c r="F214" s="52">
        <f>SUM(F215:F216)</f>
        <v>30496.2</v>
      </c>
      <c r="G214" s="79">
        <f>SUM(G215:G216)</f>
        <v>0</v>
      </c>
      <c r="H214" s="69">
        <f t="shared" si="7"/>
        <v>94.85</v>
      </c>
    </row>
    <row r="215" spans="1:8" ht="18.75" customHeight="1">
      <c r="A215" s="144"/>
      <c r="B215" s="8" t="s">
        <v>4</v>
      </c>
      <c r="C215" s="70" t="s">
        <v>199</v>
      </c>
      <c r="D215" s="27"/>
      <c r="E215" s="11">
        <f>32150.77+0.03</f>
        <v>32150.8</v>
      </c>
      <c r="F215" s="11">
        <v>30496.2</v>
      </c>
      <c r="G215" s="75">
        <v>0</v>
      </c>
      <c r="H215" s="68">
        <f t="shared" si="7"/>
        <v>94.85</v>
      </c>
    </row>
    <row r="216" spans="1:8" ht="21.75" customHeight="1">
      <c r="A216" s="145"/>
      <c r="B216" s="8" t="s">
        <v>5</v>
      </c>
      <c r="C216" s="27"/>
      <c r="D216" s="71"/>
      <c r="E216" s="11"/>
      <c r="F216" s="12"/>
      <c r="G216" s="77"/>
      <c r="H216" s="68"/>
    </row>
    <row r="217" spans="1:8" ht="24.75" customHeight="1">
      <c r="A217" s="101" t="s">
        <v>118</v>
      </c>
      <c r="B217" s="6" t="s">
        <v>3</v>
      </c>
      <c r="C217" s="27" t="s">
        <v>73</v>
      </c>
      <c r="D217" s="93"/>
      <c r="E217" s="14">
        <f>SUM(E218:E219)</f>
        <v>1863.3</v>
      </c>
      <c r="F217" s="14">
        <f>SUM(F218:F219)</f>
        <v>1852.5</v>
      </c>
      <c r="G217" s="85">
        <f>SUM(G218:G219)</f>
        <v>0</v>
      </c>
      <c r="H217" s="69">
        <f t="shared" si="7"/>
        <v>99.42</v>
      </c>
    </row>
    <row r="218" spans="1:8" ht="27.75" customHeight="1">
      <c r="A218" s="102"/>
      <c r="B218" s="6" t="s">
        <v>4</v>
      </c>
      <c r="C218" s="94"/>
      <c r="D218" s="93"/>
      <c r="E218" s="14">
        <f>E221</f>
        <v>1863.3</v>
      </c>
      <c r="F218" s="14">
        <f>F221</f>
        <v>1852.5</v>
      </c>
      <c r="G218" s="85">
        <f>G221</f>
        <v>0</v>
      </c>
      <c r="H218" s="69">
        <f t="shared" si="7"/>
        <v>99.42</v>
      </c>
    </row>
    <row r="219" spans="1:8" ht="24.75" customHeight="1">
      <c r="A219" s="103"/>
      <c r="B219" s="6" t="s">
        <v>5</v>
      </c>
      <c r="C219" s="94"/>
      <c r="D219" s="93"/>
      <c r="E219" s="14"/>
      <c r="F219" s="14"/>
      <c r="G219" s="85"/>
      <c r="H219" s="68"/>
    </row>
    <row r="220" spans="1:8" ht="18" customHeight="1">
      <c r="A220" s="141" t="s">
        <v>119</v>
      </c>
      <c r="B220" s="8" t="s">
        <v>3</v>
      </c>
      <c r="C220" s="27" t="s">
        <v>73</v>
      </c>
      <c r="D220" s="71"/>
      <c r="E220" s="60">
        <f>SUM(E221:E222)</f>
        <v>1863.3</v>
      </c>
      <c r="F220" s="60">
        <f>SUM(F221:F222)</f>
        <v>1852.5</v>
      </c>
      <c r="G220" s="75">
        <v>0</v>
      </c>
      <c r="H220" s="69">
        <f t="shared" si="7"/>
        <v>99.42</v>
      </c>
    </row>
    <row r="221" spans="1:8" ht="27" customHeight="1">
      <c r="A221" s="142"/>
      <c r="B221" s="8" t="s">
        <v>4</v>
      </c>
      <c r="C221" s="27" t="s">
        <v>73</v>
      </c>
      <c r="D221" s="71"/>
      <c r="E221" s="11">
        <f>E224+E230+E227+E233</f>
        <v>1863.3</v>
      </c>
      <c r="F221" s="11">
        <f>F224+F230+F227+F233</f>
        <v>1852.5</v>
      </c>
      <c r="G221" s="75">
        <v>0</v>
      </c>
      <c r="H221" s="68">
        <f t="shared" si="7"/>
        <v>99.42</v>
      </c>
    </row>
    <row r="222" spans="1:8" ht="23.25" customHeight="1">
      <c r="A222" s="143"/>
      <c r="B222" s="8" t="s">
        <v>5</v>
      </c>
      <c r="C222" s="27"/>
      <c r="D222" s="71"/>
      <c r="E222" s="11"/>
      <c r="F222" s="11"/>
      <c r="G222" s="77"/>
      <c r="H222" s="68"/>
    </row>
    <row r="223" spans="1:8" ht="58.5" customHeight="1">
      <c r="A223" s="134" t="s">
        <v>120</v>
      </c>
      <c r="B223" s="8" t="s">
        <v>3</v>
      </c>
      <c r="C223" s="27"/>
      <c r="D223" s="71"/>
      <c r="E223" s="52">
        <f>SUM(E224:E225)</f>
        <v>10</v>
      </c>
      <c r="F223" s="13">
        <f>SUM(F224:F225)</f>
        <v>0</v>
      </c>
      <c r="G223" s="79">
        <f>SUM(G224:G225)</f>
        <v>0</v>
      </c>
      <c r="H223" s="69">
        <f t="shared" si="7"/>
        <v>0</v>
      </c>
    </row>
    <row r="224" spans="1:8" ht="25.5" customHeight="1">
      <c r="A224" s="108"/>
      <c r="B224" s="8" t="s">
        <v>4</v>
      </c>
      <c r="C224" s="27" t="s">
        <v>61</v>
      </c>
      <c r="D224" s="71"/>
      <c r="E224" s="11">
        <v>10</v>
      </c>
      <c r="F224" s="12">
        <v>0</v>
      </c>
      <c r="G224" s="75">
        <v>0</v>
      </c>
      <c r="H224" s="68">
        <f t="shared" si="7"/>
        <v>0</v>
      </c>
    </row>
    <row r="225" spans="1:8" ht="24.75" customHeight="1">
      <c r="A225" s="109"/>
      <c r="B225" s="8" t="s">
        <v>5</v>
      </c>
      <c r="C225" s="27"/>
      <c r="D225" s="71"/>
      <c r="E225" s="11"/>
      <c r="F225" s="12"/>
      <c r="G225" s="77"/>
      <c r="H225" s="68"/>
    </row>
    <row r="226" spans="1:8" ht="62.25" customHeight="1">
      <c r="A226" s="152" t="s">
        <v>121</v>
      </c>
      <c r="B226" s="8" t="s">
        <v>3</v>
      </c>
      <c r="C226" s="27"/>
      <c r="D226" s="71"/>
      <c r="E226" s="52">
        <f>SUM(E227:E228)</f>
        <v>480</v>
      </c>
      <c r="F226" s="13">
        <f>SUM(F227:F228)</f>
        <v>480</v>
      </c>
      <c r="G226" s="79">
        <f>SUM(G227:G228)</f>
        <v>0</v>
      </c>
      <c r="H226" s="69">
        <f t="shared" si="7"/>
        <v>100</v>
      </c>
    </row>
    <row r="227" spans="1:8" ht="34.5" customHeight="1">
      <c r="A227" s="153"/>
      <c r="B227" s="8" t="s">
        <v>4</v>
      </c>
      <c r="C227" s="27" t="s">
        <v>62</v>
      </c>
      <c r="D227" s="71"/>
      <c r="E227" s="11">
        <v>480</v>
      </c>
      <c r="F227" s="12">
        <v>480</v>
      </c>
      <c r="G227" s="75">
        <v>0</v>
      </c>
      <c r="H227" s="68">
        <f t="shared" si="7"/>
        <v>100</v>
      </c>
    </row>
    <row r="228" spans="1:8" ht="24" customHeight="1">
      <c r="A228" s="153"/>
      <c r="B228" s="8" t="s">
        <v>5</v>
      </c>
      <c r="C228" s="27"/>
      <c r="D228" s="71"/>
      <c r="E228" s="12"/>
      <c r="F228" s="11"/>
      <c r="G228" s="77"/>
      <c r="H228" s="68"/>
    </row>
    <row r="229" spans="1:8" ht="30.75" customHeight="1">
      <c r="A229" s="146" t="s">
        <v>122</v>
      </c>
      <c r="B229" s="8" t="s">
        <v>3</v>
      </c>
      <c r="C229" s="27"/>
      <c r="D229" s="71"/>
      <c r="E229" s="52">
        <f>SUM(E230:E231)</f>
        <v>1161.6</v>
      </c>
      <c r="F229" s="52">
        <f>SUM(F230:F231)</f>
        <v>1160.8</v>
      </c>
      <c r="G229" s="79">
        <f>SUM(G230:G231)</f>
        <v>0</v>
      </c>
      <c r="H229" s="69">
        <f t="shared" si="7"/>
        <v>99.93</v>
      </c>
    </row>
    <row r="230" spans="1:8" ht="25.5" customHeight="1">
      <c r="A230" s="147"/>
      <c r="B230" s="8" t="s">
        <v>4</v>
      </c>
      <c r="C230" s="27" t="s">
        <v>67</v>
      </c>
      <c r="D230" s="71"/>
      <c r="E230" s="11">
        <v>1161.6</v>
      </c>
      <c r="F230" s="11">
        <v>1160.8</v>
      </c>
      <c r="G230" s="75">
        <v>0</v>
      </c>
      <c r="H230" s="68">
        <f t="shared" si="7"/>
        <v>99.93</v>
      </c>
    </row>
    <row r="231" spans="1:8" ht="31.5" customHeight="1">
      <c r="A231" s="148"/>
      <c r="B231" s="8" t="s">
        <v>5</v>
      </c>
      <c r="C231" s="27"/>
      <c r="D231" s="71"/>
      <c r="E231" s="11"/>
      <c r="F231" s="11"/>
      <c r="G231" s="77"/>
      <c r="H231" s="68"/>
    </row>
    <row r="232" spans="1:8" ht="27" customHeight="1">
      <c r="A232" s="146" t="s">
        <v>123</v>
      </c>
      <c r="B232" s="8" t="s">
        <v>3</v>
      </c>
      <c r="C232" s="27"/>
      <c r="D232" s="71"/>
      <c r="E232" s="52">
        <f>SUM(E233:E234)</f>
        <v>211.7</v>
      </c>
      <c r="F232" s="52">
        <f>SUM(F233:F234)</f>
        <v>211.7</v>
      </c>
      <c r="G232" s="79">
        <f>SUM(G233:G234)</f>
        <v>0</v>
      </c>
      <c r="H232" s="69">
        <f t="shared" si="7"/>
        <v>100</v>
      </c>
    </row>
    <row r="233" spans="1:8" ht="20.25" customHeight="1">
      <c r="A233" s="147"/>
      <c r="B233" s="8" t="s">
        <v>4</v>
      </c>
      <c r="C233" s="70" t="s">
        <v>200</v>
      </c>
      <c r="D233" s="71"/>
      <c r="E233" s="11">
        <v>211.7</v>
      </c>
      <c r="F233" s="11">
        <v>211.7</v>
      </c>
      <c r="G233" s="75">
        <v>0</v>
      </c>
      <c r="H233" s="68">
        <f t="shared" si="7"/>
        <v>100</v>
      </c>
    </row>
    <row r="234" spans="1:8" ht="27.75" customHeight="1">
      <c r="A234" s="148"/>
      <c r="B234" s="8" t="s">
        <v>5</v>
      </c>
      <c r="C234" s="27"/>
      <c r="D234" s="71"/>
      <c r="E234" s="11"/>
      <c r="F234" s="11"/>
      <c r="G234" s="77"/>
      <c r="H234" s="68"/>
    </row>
    <row r="235" spans="1:8" ht="32.25" customHeight="1">
      <c r="A235" s="3"/>
      <c r="B235" s="5"/>
      <c r="C235" s="5"/>
      <c r="D235" s="5"/>
      <c r="E235" s="4"/>
      <c r="F235" s="4"/>
      <c r="H235" s="73"/>
    </row>
    <row r="236" spans="1:8" ht="18.75" customHeight="1">
      <c r="A236" s="36" t="s">
        <v>76</v>
      </c>
      <c r="B236" s="31"/>
      <c r="C236" s="31"/>
      <c r="D236" s="31"/>
      <c r="E236" s="32"/>
      <c r="F236" s="32"/>
      <c r="H236" s="73"/>
    </row>
    <row r="237" spans="1:8" ht="42.75" customHeight="1">
      <c r="A237" s="43" t="s">
        <v>133</v>
      </c>
      <c r="B237" s="31"/>
      <c r="C237" s="31"/>
      <c r="D237" s="31"/>
      <c r="E237" s="32"/>
      <c r="F237" s="4" t="s">
        <v>74</v>
      </c>
      <c r="H237" s="73"/>
    </row>
    <row r="238" spans="1:8" ht="59.25" customHeight="1">
      <c r="A238" s="32"/>
      <c r="B238" s="31"/>
      <c r="C238" s="31"/>
      <c r="D238" s="31"/>
      <c r="E238" s="32"/>
      <c r="F238" s="32"/>
      <c r="H238" s="73"/>
    </row>
    <row r="239" spans="1:8" ht="15">
      <c r="A239" s="32" t="s">
        <v>77</v>
      </c>
      <c r="B239" s="35"/>
      <c r="C239" s="35"/>
      <c r="D239" s="35"/>
      <c r="E239" s="34"/>
      <c r="F239" s="34"/>
      <c r="H239" s="73"/>
    </row>
    <row r="240" spans="1:8" ht="30.75" customHeight="1">
      <c r="A240" s="43" t="s">
        <v>154</v>
      </c>
      <c r="B240" s="47"/>
      <c r="C240" s="47"/>
      <c r="D240" s="47"/>
      <c r="E240" s="48"/>
      <c r="F240" s="74" t="s">
        <v>155</v>
      </c>
      <c r="H240" s="73"/>
    </row>
    <row r="241" spans="1:8" ht="15">
      <c r="A241" s="47"/>
      <c r="B241" s="47"/>
      <c r="C241" s="47"/>
      <c r="D241" s="47"/>
      <c r="E241" s="48"/>
      <c r="F241" s="48"/>
      <c r="H241" s="73"/>
    </row>
    <row r="242" spans="1:8" ht="15">
      <c r="A242" s="50"/>
      <c r="B242" s="51"/>
      <c r="C242" s="51"/>
      <c r="D242" s="51"/>
      <c r="E242" s="49"/>
      <c r="F242" s="49"/>
      <c r="H242" s="73"/>
    </row>
    <row r="243" spans="1:8" ht="15">
      <c r="A243" s="33"/>
      <c r="B243" s="31"/>
      <c r="C243" s="31"/>
      <c r="D243" s="31"/>
      <c r="E243" s="32"/>
      <c r="F243" s="32"/>
      <c r="H243" s="73"/>
    </row>
    <row r="244" spans="1:8" ht="15">
      <c r="A244" s="33"/>
      <c r="B244" s="31"/>
      <c r="C244" s="31"/>
      <c r="D244" s="31"/>
      <c r="E244" s="32"/>
      <c r="F244" s="32"/>
      <c r="H244" s="73"/>
    </row>
    <row r="245" spans="1:8" ht="15">
      <c r="A245" s="33"/>
      <c r="B245" s="31"/>
      <c r="C245" s="31"/>
      <c r="D245" s="31"/>
      <c r="E245" s="32"/>
      <c r="F245" s="32"/>
      <c r="H245" s="73"/>
    </row>
    <row r="246" spans="1:8" ht="15">
      <c r="A246" s="33"/>
      <c r="B246" s="31"/>
      <c r="C246" s="31"/>
      <c r="D246" s="31"/>
      <c r="E246" s="32"/>
      <c r="F246" s="32"/>
      <c r="H246" s="73"/>
    </row>
    <row r="247" spans="1:8" ht="15">
      <c r="A247" s="33"/>
      <c r="B247" s="31"/>
      <c r="C247" s="31"/>
      <c r="D247" s="31"/>
      <c r="E247" s="32"/>
      <c r="F247" s="32"/>
      <c r="H247" s="73"/>
    </row>
    <row r="248" spans="1:8" ht="15">
      <c r="A248" s="33"/>
      <c r="B248" s="31"/>
      <c r="C248" s="31"/>
      <c r="D248" s="31"/>
      <c r="E248" s="32"/>
      <c r="F248" s="32"/>
      <c r="H248" s="73"/>
    </row>
    <row r="249" spans="2:6" ht="15">
      <c r="B249" s="1"/>
      <c r="C249" s="1"/>
      <c r="D249" s="1"/>
      <c r="E249" s="4"/>
      <c r="F249" s="4"/>
    </row>
    <row r="250" spans="2:6" ht="15">
      <c r="B250" s="1"/>
      <c r="C250" s="1"/>
      <c r="D250" s="1"/>
      <c r="E250" s="4"/>
      <c r="F250" s="4"/>
    </row>
    <row r="251" spans="2:4" ht="12.75">
      <c r="B251" s="1"/>
      <c r="C251" s="1"/>
      <c r="D251" s="1"/>
    </row>
    <row r="252" spans="2:4" ht="12.75">
      <c r="B252" s="1"/>
      <c r="C252" s="1"/>
      <c r="D252" s="1"/>
    </row>
    <row r="253" spans="2:4" ht="12.75">
      <c r="B253" s="1"/>
      <c r="C253" s="1"/>
      <c r="D253" s="1"/>
    </row>
    <row r="254" spans="2:4" ht="12.75">
      <c r="B254" s="1"/>
      <c r="C254" s="1"/>
      <c r="D254" s="1"/>
    </row>
    <row r="255" spans="2:4" ht="12.75">
      <c r="B255" s="1"/>
      <c r="C255" s="1"/>
      <c r="D255" s="1"/>
    </row>
    <row r="256" spans="2:4" ht="12.75">
      <c r="B256" s="1"/>
      <c r="C256" s="1"/>
      <c r="D256" s="1"/>
    </row>
    <row r="257" spans="2:4" ht="12.75">
      <c r="B257" s="1"/>
      <c r="C257" s="1"/>
      <c r="D257" s="1"/>
    </row>
    <row r="258" spans="2:4" ht="12.75">
      <c r="B258" s="1"/>
      <c r="C258" s="1"/>
      <c r="D258" s="1"/>
    </row>
    <row r="259" spans="2:4" ht="12.75">
      <c r="B259" s="1"/>
      <c r="C259" s="1"/>
      <c r="D259" s="1"/>
    </row>
    <row r="260" spans="2:4" ht="12.75">
      <c r="B260" s="1"/>
      <c r="C260" s="1"/>
      <c r="D260" s="1"/>
    </row>
    <row r="261" spans="2:4" ht="12.75">
      <c r="B261" s="1"/>
      <c r="C261" s="1"/>
      <c r="D261" s="1"/>
    </row>
    <row r="262" spans="2:4" ht="12.75">
      <c r="B262" s="1"/>
      <c r="C262" s="1"/>
      <c r="D262" s="1"/>
    </row>
    <row r="263" spans="2:4" ht="12.75">
      <c r="B263" s="1"/>
      <c r="C263" s="1"/>
      <c r="D263" s="1"/>
    </row>
    <row r="264" spans="2:4" ht="12.75">
      <c r="B264" s="1"/>
      <c r="C264" s="1"/>
      <c r="D264" s="1"/>
    </row>
    <row r="265" spans="2:4" ht="12.75">
      <c r="B265" s="1"/>
      <c r="C265" s="1"/>
      <c r="D265" s="1"/>
    </row>
  </sheetData>
  <sheetProtection/>
  <mergeCells count="84">
    <mergeCell ref="A232:A234"/>
    <mergeCell ref="A205:A207"/>
    <mergeCell ref="A208:A210"/>
    <mergeCell ref="A193:A195"/>
    <mergeCell ref="A229:A231"/>
    <mergeCell ref="A145:A147"/>
    <mergeCell ref="A226:A228"/>
    <mergeCell ref="A223:A225"/>
    <mergeCell ref="A211:A213"/>
    <mergeCell ref="A163:A165"/>
    <mergeCell ref="A220:A222"/>
    <mergeCell ref="A187:A189"/>
    <mergeCell ref="A199:A201"/>
    <mergeCell ref="A190:A192"/>
    <mergeCell ref="A214:A216"/>
    <mergeCell ref="A217:A219"/>
    <mergeCell ref="A196:A198"/>
    <mergeCell ref="A202:A204"/>
    <mergeCell ref="A181:A183"/>
    <mergeCell ref="A169:A171"/>
    <mergeCell ref="A184:A186"/>
    <mergeCell ref="A133:A135"/>
    <mergeCell ref="A175:A177"/>
    <mergeCell ref="A142:A144"/>
    <mergeCell ref="A178:A180"/>
    <mergeCell ref="A121:A123"/>
    <mergeCell ref="A118:A120"/>
    <mergeCell ref="A151:A153"/>
    <mergeCell ref="A154:A156"/>
    <mergeCell ref="A157:A159"/>
    <mergeCell ref="A148:A150"/>
    <mergeCell ref="A172:A174"/>
    <mergeCell ref="A160:A162"/>
    <mergeCell ref="A166:A168"/>
    <mergeCell ref="A40:A42"/>
    <mergeCell ref="A94:A96"/>
    <mergeCell ref="A55:A57"/>
    <mergeCell ref="A46:A48"/>
    <mergeCell ref="A67:A69"/>
    <mergeCell ref="A130:A132"/>
    <mergeCell ref="A106:A108"/>
    <mergeCell ref="A97:A99"/>
    <mergeCell ref="A100:A102"/>
    <mergeCell ref="A73:A75"/>
    <mergeCell ref="A91:A93"/>
    <mergeCell ref="A103:A105"/>
    <mergeCell ref="A82:A84"/>
    <mergeCell ref="A76:A78"/>
    <mergeCell ref="A34:A36"/>
    <mergeCell ref="A109:A111"/>
    <mergeCell ref="A115:A117"/>
    <mergeCell ref="A124:A126"/>
    <mergeCell ref="A136:A138"/>
    <mergeCell ref="A61:A63"/>
    <mergeCell ref="A88:A90"/>
    <mergeCell ref="A112:A114"/>
    <mergeCell ref="A127:A129"/>
    <mergeCell ref="A85:A87"/>
    <mergeCell ref="A139:A141"/>
    <mergeCell ref="A43:A45"/>
    <mergeCell ref="A52:A54"/>
    <mergeCell ref="A49:A51"/>
    <mergeCell ref="A31:A33"/>
    <mergeCell ref="A79:A81"/>
    <mergeCell ref="A58:A60"/>
    <mergeCell ref="A64:A66"/>
    <mergeCell ref="A70:A72"/>
    <mergeCell ref="A15:A18"/>
    <mergeCell ref="A37:A39"/>
    <mergeCell ref="A25:A27"/>
    <mergeCell ref="A19:A21"/>
    <mergeCell ref="A22:A24"/>
    <mergeCell ref="E8:H8"/>
    <mergeCell ref="A11:A14"/>
    <mergeCell ref="B8:B9"/>
    <mergeCell ref="A8:A9"/>
    <mergeCell ref="A28:A30"/>
    <mergeCell ref="A2:H2"/>
    <mergeCell ref="A3:H3"/>
    <mergeCell ref="A5:H5"/>
    <mergeCell ref="A6:H6"/>
    <mergeCell ref="A4:H4"/>
    <mergeCell ref="C8:C9"/>
    <mergeCell ref="D8:D9"/>
  </mergeCells>
  <printOptions/>
  <pageMargins left="0.1968503937007874" right="0" top="0.3937007874015748" bottom="0.1968503937007874" header="0.15748031496062992" footer="0.1968503937007874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Кочетова Галина С.</cp:lastModifiedBy>
  <cp:lastPrinted>2022-03-28T02:06:07Z</cp:lastPrinted>
  <dcterms:created xsi:type="dcterms:W3CDTF">1996-10-08T23:32:33Z</dcterms:created>
  <dcterms:modified xsi:type="dcterms:W3CDTF">2022-03-28T02:14:52Z</dcterms:modified>
  <cp:category/>
  <cp:version/>
  <cp:contentType/>
  <cp:contentStatus/>
</cp:coreProperties>
</file>